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620" tabRatio="814" activeTab="1"/>
  </bookViews>
  <sheets>
    <sheet name="Orçamento" sheetId="1" r:id="rId1"/>
    <sheet name="Memória de Cálculo" sheetId="3" r:id="rId2"/>
  </sheets>
  <definedNames>
    <definedName name="_xlnm.Print_Area" localSheetId="0">Orçamento!$A$1:$I$356</definedName>
  </definedNames>
  <calcPr calcId="162913"/>
</workbook>
</file>

<file path=xl/calcChain.xml><?xml version="1.0" encoding="utf-8"?>
<calcChain xmlns="http://schemas.openxmlformats.org/spreadsheetml/2006/main">
  <c r="D818" i="3" l="1"/>
  <c r="D339" i="1"/>
  <c r="H339" i="1"/>
  <c r="D820" i="3"/>
  <c r="D819" i="3"/>
  <c r="D817" i="3"/>
  <c r="D338" i="1"/>
  <c r="H338" i="1"/>
  <c r="D770" i="3"/>
  <c r="D289" i="3"/>
  <c r="D669" i="3"/>
  <c r="D814" i="3"/>
  <c r="D805" i="3"/>
  <c r="D815" i="3"/>
  <c r="D812" i="3"/>
  <c r="D811" i="3"/>
  <c r="D809" i="3"/>
  <c r="D808" i="3"/>
  <c r="D806" i="3"/>
  <c r="D824" i="3"/>
  <c r="D803" i="3"/>
  <c r="D802" i="3"/>
  <c r="D800" i="3"/>
  <c r="D799" i="3"/>
  <c r="D797" i="3"/>
  <c r="D796" i="3"/>
  <c r="D794" i="3"/>
  <c r="D793" i="3"/>
  <c r="D791" i="3"/>
  <c r="D790" i="3"/>
  <c r="D788" i="3"/>
  <c r="D787" i="3"/>
  <c r="D785" i="3"/>
  <c r="D784" i="3"/>
  <c r="D697" i="3"/>
  <c r="D701" i="3"/>
  <c r="D391" i="3"/>
  <c r="D290" i="1"/>
  <c r="H290" i="1"/>
  <c r="D827" i="3"/>
  <c r="D826" i="3"/>
  <c r="D782" i="3"/>
  <c r="H244" i="1"/>
  <c r="H292" i="1"/>
  <c r="H291" i="1"/>
  <c r="B387" i="3"/>
  <c r="D398" i="3"/>
  <c r="D297" i="1"/>
  <c r="H297" i="1"/>
  <c r="D397" i="3"/>
  <c r="D296" i="1"/>
  <c r="H296" i="1"/>
  <c r="H298" i="1"/>
  <c r="I298" i="1"/>
  <c r="H218" i="1"/>
  <c r="B13" i="3"/>
  <c r="C13" i="3"/>
  <c r="D13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C23" i="3"/>
  <c r="D23" i="3"/>
  <c r="C27" i="3"/>
  <c r="C28" i="3"/>
  <c r="C29" i="3"/>
  <c r="D28" i="3"/>
  <c r="D29" i="3"/>
  <c r="D34" i="3"/>
  <c r="D35" i="3"/>
  <c r="D36" i="3"/>
  <c r="B40" i="3"/>
  <c r="C40" i="3"/>
  <c r="D41" i="3"/>
  <c r="D40" i="3"/>
  <c r="D42" i="3"/>
  <c r="D43" i="3"/>
  <c r="B44" i="3"/>
  <c r="B45" i="3"/>
  <c r="C45" i="3"/>
  <c r="D46" i="3"/>
  <c r="D47" i="3"/>
  <c r="D48" i="3"/>
  <c r="B49" i="3"/>
  <c r="C49" i="3"/>
  <c r="D50" i="3"/>
  <c r="D51" i="3"/>
  <c r="D49" i="3"/>
  <c r="D40" i="1"/>
  <c r="D41" i="1"/>
  <c r="H41" i="1"/>
  <c r="D52" i="3"/>
  <c r="B53" i="3"/>
  <c r="D54" i="3"/>
  <c r="D55" i="3"/>
  <c r="D56" i="3"/>
  <c r="D61" i="3"/>
  <c r="D62" i="3"/>
  <c r="D63" i="3"/>
  <c r="D46" i="1"/>
  <c r="H46" i="1"/>
  <c r="D65" i="3"/>
  <c r="D66" i="3"/>
  <c r="D64" i="3"/>
  <c r="D47" i="1"/>
  <c r="H47" i="1"/>
  <c r="D67" i="3"/>
  <c r="D68" i="3"/>
  <c r="D69" i="3"/>
  <c r="D70" i="3"/>
  <c r="D72" i="3"/>
  <c r="D73" i="3"/>
  <c r="D74" i="3"/>
  <c r="D76" i="3"/>
  <c r="D75" i="3"/>
  <c r="D49" i="1"/>
  <c r="H49" i="1"/>
  <c r="D77" i="3"/>
  <c r="D79" i="3"/>
  <c r="D80" i="3"/>
  <c r="D82" i="3"/>
  <c r="D83" i="3"/>
  <c r="D85" i="3"/>
  <c r="D86" i="3"/>
  <c r="D87" i="3"/>
  <c r="E88" i="3"/>
  <c r="D89" i="3"/>
  <c r="D90" i="3"/>
  <c r="D91" i="3"/>
  <c r="D92" i="3"/>
  <c r="E92" i="3"/>
  <c r="B96" i="3"/>
  <c r="C96" i="3"/>
  <c r="D96" i="3"/>
  <c r="B97" i="3"/>
  <c r="C97" i="3"/>
  <c r="D97" i="3"/>
  <c r="B98" i="3"/>
  <c r="C98" i="3"/>
  <c r="D98" i="3"/>
  <c r="B99" i="3"/>
  <c r="C99" i="3"/>
  <c r="D99" i="3"/>
  <c r="B100" i="3"/>
  <c r="C100" i="3"/>
  <c r="D100" i="3"/>
  <c r="B101" i="3"/>
  <c r="C101" i="3"/>
  <c r="D101" i="3"/>
  <c r="B102" i="3"/>
  <c r="C102" i="3"/>
  <c r="D102" i="3"/>
  <c r="B103" i="3"/>
  <c r="C103" i="3"/>
  <c r="D103" i="3"/>
  <c r="B104" i="3"/>
  <c r="C104" i="3"/>
  <c r="D104" i="3"/>
  <c r="B105" i="3"/>
  <c r="C105" i="3"/>
  <c r="D105" i="3"/>
  <c r="B106" i="3"/>
  <c r="C106" i="3"/>
  <c r="D106" i="3"/>
  <c r="B107" i="3"/>
  <c r="C107" i="3"/>
  <c r="D107" i="3"/>
  <c r="B108" i="3"/>
  <c r="C108" i="3"/>
  <c r="D108" i="3"/>
  <c r="B109" i="3"/>
  <c r="C109" i="3"/>
  <c r="D109" i="3"/>
  <c r="B110" i="3"/>
  <c r="C110" i="3"/>
  <c r="D110" i="3"/>
  <c r="B111" i="3"/>
  <c r="C111" i="3"/>
  <c r="D111" i="3"/>
  <c r="B112" i="3"/>
  <c r="C112" i="3"/>
  <c r="D112" i="3"/>
  <c r="B113" i="3"/>
  <c r="C113" i="3"/>
  <c r="D113" i="3"/>
  <c r="B114" i="3"/>
  <c r="C114" i="3"/>
  <c r="D114" i="3"/>
  <c r="B115" i="3"/>
  <c r="C115" i="3"/>
  <c r="D115" i="3"/>
  <c r="B116" i="3"/>
  <c r="C116" i="3"/>
  <c r="D116" i="3"/>
  <c r="B117" i="3"/>
  <c r="C117" i="3"/>
  <c r="D117" i="3"/>
  <c r="B118" i="3"/>
  <c r="C118" i="3"/>
  <c r="D118" i="3"/>
  <c r="B119" i="3"/>
  <c r="C119" i="3"/>
  <c r="D119" i="3"/>
  <c r="B120" i="3"/>
  <c r="C120" i="3"/>
  <c r="D120" i="3"/>
  <c r="B121" i="3"/>
  <c r="C121" i="3"/>
  <c r="D121" i="3"/>
  <c r="B122" i="3"/>
  <c r="C122" i="3"/>
  <c r="D122" i="3"/>
  <c r="B123" i="3"/>
  <c r="C123" i="3"/>
  <c r="D123" i="3"/>
  <c r="B124" i="3"/>
  <c r="C124" i="3"/>
  <c r="D124" i="3"/>
  <c r="B125" i="3"/>
  <c r="C125" i="3"/>
  <c r="D125" i="3"/>
  <c r="B126" i="3"/>
  <c r="C126" i="3"/>
  <c r="D126" i="3"/>
  <c r="B127" i="3"/>
  <c r="C127" i="3"/>
  <c r="D127" i="3"/>
  <c r="B128" i="3"/>
  <c r="C128" i="3"/>
  <c r="D128" i="3"/>
  <c r="B129" i="3"/>
  <c r="C129" i="3"/>
  <c r="D129" i="3"/>
  <c r="D131" i="3"/>
  <c r="B132" i="3"/>
  <c r="C132" i="3"/>
  <c r="D133" i="3"/>
  <c r="D134" i="3"/>
  <c r="B136" i="3"/>
  <c r="C136" i="3"/>
  <c r="D136" i="3"/>
  <c r="D94" i="1"/>
  <c r="H94" i="1"/>
  <c r="B137" i="3"/>
  <c r="C137" i="3"/>
  <c r="D138" i="3"/>
  <c r="D137" i="3"/>
  <c r="D139" i="3"/>
  <c r="D140" i="3"/>
  <c r="D96" i="1"/>
  <c r="H96" i="1"/>
  <c r="B141" i="3"/>
  <c r="C141" i="3"/>
  <c r="D141" i="3"/>
  <c r="B142" i="3"/>
  <c r="C142" i="3"/>
  <c r="D142" i="3"/>
  <c r="B143" i="3"/>
  <c r="C143" i="3"/>
  <c r="D143" i="3"/>
  <c r="B144" i="3"/>
  <c r="C144" i="3"/>
  <c r="D144" i="3"/>
  <c r="B145" i="3"/>
  <c r="C145" i="3"/>
  <c r="D145" i="3"/>
  <c r="B146" i="3"/>
  <c r="C146" i="3"/>
  <c r="D146" i="3"/>
  <c r="B147" i="3"/>
  <c r="C147" i="3"/>
  <c r="D147" i="3"/>
  <c r="B148" i="3"/>
  <c r="C148" i="3"/>
  <c r="D148" i="3"/>
  <c r="B149" i="3"/>
  <c r="C149" i="3"/>
  <c r="D149" i="3"/>
  <c r="B150" i="3"/>
  <c r="C150" i="3"/>
  <c r="D150" i="3"/>
  <c r="B151" i="3"/>
  <c r="C151" i="3"/>
  <c r="D151" i="3"/>
  <c r="B152" i="3"/>
  <c r="C152" i="3"/>
  <c r="D152" i="3"/>
  <c r="B153" i="3"/>
  <c r="C153" i="3"/>
  <c r="D153" i="3"/>
  <c r="B154" i="3"/>
  <c r="C154" i="3"/>
  <c r="D154" i="3"/>
  <c r="B155" i="3"/>
  <c r="C155" i="3"/>
  <c r="D155" i="3"/>
  <c r="B156" i="3"/>
  <c r="C156" i="3"/>
  <c r="D156" i="3"/>
  <c r="B157" i="3"/>
  <c r="C157" i="3"/>
  <c r="D157" i="3"/>
  <c r="B158" i="3"/>
  <c r="C158" i="3"/>
  <c r="D158" i="3"/>
  <c r="B159" i="3"/>
  <c r="C159" i="3"/>
  <c r="D159" i="3"/>
  <c r="B160" i="3"/>
  <c r="C160" i="3"/>
  <c r="D160" i="3"/>
  <c r="B161" i="3"/>
  <c r="C161" i="3"/>
  <c r="D161" i="3"/>
  <c r="B162" i="3"/>
  <c r="C162" i="3"/>
  <c r="D162" i="3"/>
  <c r="B163" i="3"/>
  <c r="C163" i="3"/>
  <c r="D163" i="3"/>
  <c r="B164" i="3"/>
  <c r="C164" i="3"/>
  <c r="D164" i="3"/>
  <c r="B165" i="3"/>
  <c r="C165" i="3"/>
  <c r="D165" i="3"/>
  <c r="B166" i="3"/>
  <c r="C166" i="3"/>
  <c r="D166" i="3"/>
  <c r="B167" i="3"/>
  <c r="C167" i="3"/>
  <c r="D167" i="3"/>
  <c r="B168" i="3"/>
  <c r="C168" i="3"/>
  <c r="D168" i="3"/>
  <c r="A172" i="3"/>
  <c r="B172" i="3"/>
  <c r="A173" i="3"/>
  <c r="B173" i="3"/>
  <c r="A174" i="3"/>
  <c r="B174" i="3"/>
  <c r="C174" i="3"/>
  <c r="D174" i="3"/>
  <c r="A175" i="3"/>
  <c r="B175" i="3"/>
  <c r="C175" i="3"/>
  <c r="D175" i="3"/>
  <c r="A176" i="3"/>
  <c r="B176" i="3"/>
  <c r="C176" i="3"/>
  <c r="D176" i="3"/>
  <c r="A177" i="3"/>
  <c r="B177" i="3"/>
  <c r="C177" i="3"/>
  <c r="D177" i="3"/>
  <c r="A178" i="3"/>
  <c r="B178" i="3"/>
  <c r="C178" i="3"/>
  <c r="D178" i="3"/>
  <c r="A179" i="3"/>
  <c r="B179" i="3"/>
  <c r="C179" i="3"/>
  <c r="D179" i="3"/>
  <c r="A180" i="3"/>
  <c r="B180" i="3"/>
  <c r="A181" i="3"/>
  <c r="B181" i="3"/>
  <c r="C181" i="3"/>
  <c r="D181" i="3"/>
  <c r="A182" i="3"/>
  <c r="B182" i="3"/>
  <c r="C182" i="3"/>
  <c r="D182" i="3"/>
  <c r="A183" i="3"/>
  <c r="B183" i="3"/>
  <c r="C183" i="3"/>
  <c r="D183" i="3"/>
  <c r="A184" i="3"/>
  <c r="B184" i="3"/>
  <c r="C184" i="3"/>
  <c r="D184" i="3"/>
  <c r="A185" i="3"/>
  <c r="B185" i="3"/>
  <c r="C185" i="3"/>
  <c r="D185" i="3"/>
  <c r="A186" i="3"/>
  <c r="B186" i="3"/>
  <c r="A187" i="3"/>
  <c r="B187" i="3"/>
  <c r="C187" i="3"/>
  <c r="D187" i="3"/>
  <c r="A188" i="3"/>
  <c r="B188" i="3"/>
  <c r="C188" i="3"/>
  <c r="D188" i="3"/>
  <c r="A189" i="3"/>
  <c r="B189" i="3"/>
  <c r="C189" i="3"/>
  <c r="D189" i="3"/>
  <c r="A190" i="3"/>
  <c r="B190" i="3"/>
  <c r="C190" i="3"/>
  <c r="D190" i="3"/>
  <c r="A191" i="3"/>
  <c r="B191" i="3"/>
  <c r="A192" i="3"/>
  <c r="B192" i="3"/>
  <c r="C192" i="3"/>
  <c r="D192" i="3"/>
  <c r="A193" i="3"/>
  <c r="B193" i="3"/>
  <c r="C193" i="3"/>
  <c r="D193" i="3"/>
  <c r="A194" i="3"/>
  <c r="B194" i="3"/>
  <c r="A195" i="3"/>
  <c r="B195" i="3"/>
  <c r="C195" i="3"/>
  <c r="D195" i="3"/>
  <c r="A196" i="3"/>
  <c r="B196" i="3"/>
  <c r="C196" i="3"/>
  <c r="D196" i="3"/>
  <c r="A197" i="3"/>
  <c r="B197" i="3"/>
  <c r="C197" i="3"/>
  <c r="D197" i="3"/>
  <c r="A198" i="3"/>
  <c r="B198" i="3"/>
  <c r="C198" i="3"/>
  <c r="D198" i="3"/>
  <c r="A199" i="3"/>
  <c r="B199" i="3"/>
  <c r="A200" i="3"/>
  <c r="B200" i="3"/>
  <c r="C200" i="3"/>
  <c r="D200" i="3"/>
  <c r="A201" i="3"/>
  <c r="B201" i="3"/>
  <c r="C201" i="3"/>
  <c r="D201" i="3"/>
  <c r="A202" i="3"/>
  <c r="B202" i="3"/>
  <c r="C202" i="3"/>
  <c r="D202" i="3"/>
  <c r="A203" i="3"/>
  <c r="B203" i="3"/>
  <c r="C203" i="3"/>
  <c r="D203" i="3"/>
  <c r="A204" i="3"/>
  <c r="B204" i="3"/>
  <c r="C204" i="3"/>
  <c r="D204" i="3"/>
  <c r="A205" i="3"/>
  <c r="B205" i="3"/>
  <c r="A206" i="3"/>
  <c r="B206" i="3"/>
  <c r="A207" i="3"/>
  <c r="B207" i="3"/>
  <c r="C207" i="3"/>
  <c r="D207" i="3"/>
  <c r="D167" i="1"/>
  <c r="H167" i="1"/>
  <c r="A208" i="3"/>
  <c r="B208" i="3"/>
  <c r="C208" i="3"/>
  <c r="D208" i="3"/>
  <c r="D168" i="1"/>
  <c r="H168" i="1"/>
  <c r="A209" i="3"/>
  <c r="B209" i="3"/>
  <c r="A210" i="3"/>
  <c r="B210" i="3"/>
  <c r="C210" i="3"/>
  <c r="D210" i="3"/>
  <c r="A211" i="3"/>
  <c r="B211" i="3"/>
  <c r="C211" i="3"/>
  <c r="D211" i="3"/>
  <c r="A212" i="3"/>
  <c r="B212" i="3"/>
  <c r="C212" i="3"/>
  <c r="D212" i="3"/>
  <c r="A213" i="3"/>
  <c r="B213" i="3"/>
  <c r="C213" i="3"/>
  <c r="D213" i="3"/>
  <c r="A214" i="3"/>
  <c r="B214" i="3"/>
  <c r="A215" i="3"/>
  <c r="B215" i="3"/>
  <c r="C215" i="3"/>
  <c r="D215" i="3"/>
  <c r="A216" i="3"/>
  <c r="B216" i="3"/>
  <c r="C216" i="3"/>
  <c r="D216" i="3"/>
  <c r="A217" i="3"/>
  <c r="B217" i="3"/>
  <c r="C217" i="3"/>
  <c r="D217" i="3"/>
  <c r="A218" i="3"/>
  <c r="B218" i="3"/>
  <c r="A219" i="3"/>
  <c r="B219" i="3"/>
  <c r="A220" i="3"/>
  <c r="B220" i="3"/>
  <c r="C220" i="3"/>
  <c r="D220" i="3"/>
  <c r="A221" i="3"/>
  <c r="B221" i="3"/>
  <c r="C221" i="3"/>
  <c r="D221" i="3"/>
  <c r="A222" i="3"/>
  <c r="B222" i="3"/>
  <c r="C222" i="3"/>
  <c r="D222" i="3"/>
  <c r="A223" i="3"/>
  <c r="B223" i="3"/>
  <c r="C223" i="3"/>
  <c r="D223" i="3"/>
  <c r="A224" i="3"/>
  <c r="B224" i="3"/>
  <c r="C224" i="3"/>
  <c r="D224" i="3"/>
  <c r="A225" i="3"/>
  <c r="B225" i="3"/>
  <c r="A226" i="3"/>
  <c r="B226" i="3"/>
  <c r="C226" i="3"/>
  <c r="D226" i="3"/>
  <c r="A227" i="3"/>
  <c r="B227" i="3"/>
  <c r="C227" i="3"/>
  <c r="D227" i="3"/>
  <c r="A228" i="3"/>
  <c r="B228" i="3"/>
  <c r="C228" i="3"/>
  <c r="D228" i="3"/>
  <c r="A229" i="3"/>
  <c r="B229" i="3"/>
  <c r="A230" i="3"/>
  <c r="B230" i="3"/>
  <c r="C230" i="3"/>
  <c r="D230" i="3"/>
  <c r="A231" i="3"/>
  <c r="B231" i="3"/>
  <c r="A232" i="3"/>
  <c r="B232" i="3"/>
  <c r="C232" i="3"/>
  <c r="D232" i="3"/>
  <c r="A233" i="3"/>
  <c r="B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D280" i="3"/>
  <c r="A281" i="3"/>
  <c r="B287" i="3"/>
  <c r="D290" i="3"/>
  <c r="D291" i="3"/>
  <c r="D293" i="3"/>
  <c r="D292" i="3"/>
  <c r="D297" i="3"/>
  <c r="D296" i="3"/>
  <c r="D300" i="3"/>
  <c r="B301" i="3"/>
  <c r="D302" i="3"/>
  <c r="D303" i="3"/>
  <c r="B307" i="3"/>
  <c r="D310" i="3"/>
  <c r="D313" i="3"/>
  <c r="D316" i="3"/>
  <c r="D319" i="3"/>
  <c r="D322" i="3"/>
  <c r="D325" i="3"/>
  <c r="D328" i="3"/>
  <c r="D331" i="3"/>
  <c r="D334" i="3"/>
  <c r="D337" i="3"/>
  <c r="D340" i="3"/>
  <c r="D342" i="3"/>
  <c r="D346" i="3"/>
  <c r="D257" i="1"/>
  <c r="H257" i="1"/>
  <c r="H258" i="1"/>
  <c r="I258" i="1"/>
  <c r="D354" i="3"/>
  <c r="D355" i="3"/>
  <c r="D353" i="3"/>
  <c r="D261" i="1"/>
  <c r="D356" i="3"/>
  <c r="B360" i="3"/>
  <c r="C360" i="3"/>
  <c r="D360" i="3"/>
  <c r="D265" i="1"/>
  <c r="H265" i="1"/>
  <c r="B361" i="3"/>
  <c r="C361" i="3"/>
  <c r="D362" i="3"/>
  <c r="D361" i="3"/>
  <c r="D266" i="1"/>
  <c r="H266" i="1"/>
  <c r="B365" i="3"/>
  <c r="C365" i="3"/>
  <c r="D365" i="3"/>
  <c r="D267" i="1"/>
  <c r="H267" i="1"/>
  <c r="B366" i="3"/>
  <c r="C366" i="3"/>
  <c r="D366" i="3"/>
  <c r="D268" i="1"/>
  <c r="H268" i="1"/>
  <c r="B367" i="3"/>
  <c r="D368" i="3"/>
  <c r="D369" i="3"/>
  <c r="D370" i="3"/>
  <c r="B371" i="3"/>
  <c r="C371" i="3"/>
  <c r="D371" i="3"/>
  <c r="D270" i="1"/>
  <c r="H270" i="1"/>
  <c r="B375" i="3"/>
  <c r="D375" i="3"/>
  <c r="B376" i="3"/>
  <c r="D376" i="3"/>
  <c r="B377" i="3"/>
  <c r="D377" i="3"/>
  <c r="B378" i="3"/>
  <c r="D378" i="3"/>
  <c r="B379" i="3"/>
  <c r="D379" i="3"/>
  <c r="B383" i="3"/>
  <c r="C383" i="3"/>
  <c r="B384" i="3"/>
  <c r="C384" i="3"/>
  <c r="B385" i="3"/>
  <c r="C385" i="3"/>
  <c r="B386" i="3"/>
  <c r="C386" i="3"/>
  <c r="D386" i="3"/>
  <c r="C387" i="3"/>
  <c r="B389" i="3"/>
  <c r="C389" i="3"/>
  <c r="D389" i="3"/>
  <c r="D390" i="3"/>
  <c r="D289" i="1"/>
  <c r="H289" i="1"/>
  <c r="B397" i="3"/>
  <c r="C397" i="3"/>
  <c r="B398" i="3"/>
  <c r="C398" i="3"/>
  <c r="B402" i="3"/>
  <c r="C402" i="3"/>
  <c r="D405" i="3"/>
  <c r="D404" i="3"/>
  <c r="D407" i="3"/>
  <c r="D409" i="3"/>
  <c r="D411" i="3"/>
  <c r="D413" i="3"/>
  <c r="D415" i="3"/>
  <c r="D412" i="3"/>
  <c r="D417" i="3"/>
  <c r="D419" i="3"/>
  <c r="D421" i="3"/>
  <c r="D420" i="3"/>
  <c r="D423" i="3"/>
  <c r="D425" i="3"/>
  <c r="D427" i="3"/>
  <c r="D429" i="3"/>
  <c r="D431" i="3"/>
  <c r="D433" i="3"/>
  <c r="D435" i="3"/>
  <c r="D437" i="3"/>
  <c r="D436" i="3"/>
  <c r="D439" i="3"/>
  <c r="D441" i="3"/>
  <c r="D443" i="3"/>
  <c r="D445" i="3"/>
  <c r="D447" i="3"/>
  <c r="D444" i="3"/>
  <c r="D449" i="3"/>
  <c r="D451" i="3"/>
  <c r="D453" i="3"/>
  <c r="D455" i="3"/>
  <c r="D452" i="3"/>
  <c r="D458" i="3"/>
  <c r="D459" i="3"/>
  <c r="D461" i="3"/>
  <c r="D463" i="3"/>
  <c r="D465" i="3"/>
  <c r="D467" i="3"/>
  <c r="D469" i="3"/>
  <c r="D471" i="3"/>
  <c r="D468" i="3"/>
  <c r="D473" i="3"/>
  <c r="D475" i="3"/>
  <c r="D477" i="3"/>
  <c r="D476" i="3"/>
  <c r="D483" i="3"/>
  <c r="D480" i="3"/>
  <c r="D485" i="3"/>
  <c r="D484" i="3"/>
  <c r="D487" i="3"/>
  <c r="D488" i="3"/>
  <c r="D489" i="3"/>
  <c r="D490" i="3"/>
  <c r="D491" i="3"/>
  <c r="B493" i="3"/>
  <c r="C493" i="3"/>
  <c r="D495" i="3"/>
  <c r="D502" i="3"/>
  <c r="D499" i="3"/>
  <c r="D508" i="3"/>
  <c r="D510" i="3"/>
  <c r="D507" i="3"/>
  <c r="D512" i="3"/>
  <c r="D511" i="3"/>
  <c r="D514" i="3"/>
  <c r="D515" i="3"/>
  <c r="B519" i="3"/>
  <c r="C519" i="3"/>
  <c r="D522" i="3"/>
  <c r="D524" i="3"/>
  <c r="D526" i="3"/>
  <c r="D525" i="3"/>
  <c r="D528" i="3"/>
  <c r="D530" i="3"/>
  <c r="D532" i="3"/>
  <c r="D529" i="3"/>
  <c r="D534" i="3"/>
  <c r="D533" i="3"/>
  <c r="D536" i="3"/>
  <c r="D538" i="3"/>
  <c r="D540" i="3"/>
  <c r="D537" i="3"/>
  <c r="D542" i="3"/>
  <c r="D541" i="3"/>
  <c r="D544" i="3"/>
  <c r="D546" i="3"/>
  <c r="D548" i="3"/>
  <c r="D545" i="3"/>
  <c r="D550" i="3"/>
  <c r="D549" i="3"/>
  <c r="D552" i="3"/>
  <c r="D554" i="3"/>
  <c r="D556" i="3"/>
  <c r="D553" i="3"/>
  <c r="D558" i="3"/>
  <c r="D560" i="3"/>
  <c r="D562" i="3"/>
  <c r="D564" i="3"/>
  <c r="D566" i="3"/>
  <c r="D568" i="3"/>
  <c r="D570" i="3"/>
  <c r="D572" i="3"/>
  <c r="D569" i="3"/>
  <c r="D574" i="3"/>
  <c r="D576" i="3"/>
  <c r="D578" i="3"/>
  <c r="D580" i="3"/>
  <c r="D582" i="3"/>
  <c r="D584" i="3"/>
  <c r="D588" i="3"/>
  <c r="D585" i="3"/>
  <c r="D589" i="3"/>
  <c r="D594" i="3"/>
  <c r="D596" i="3"/>
  <c r="D598" i="3"/>
  <c r="D600" i="3"/>
  <c r="D602" i="3"/>
  <c r="D604" i="3"/>
  <c r="D606" i="3"/>
  <c r="D605" i="3"/>
  <c r="D608" i="3"/>
  <c r="D610" i="3"/>
  <c r="D609" i="3"/>
  <c r="D616" i="3"/>
  <c r="D613" i="3"/>
  <c r="D618" i="3"/>
  <c r="D620" i="3"/>
  <c r="D621" i="3"/>
  <c r="D622" i="3"/>
  <c r="D623" i="3"/>
  <c r="D624" i="3"/>
  <c r="B625" i="3"/>
  <c r="C625" i="3"/>
  <c r="D627" i="3"/>
  <c r="D634" i="3"/>
  <c r="D631" i="3"/>
  <c r="D640" i="3"/>
  <c r="D642" i="3"/>
  <c r="D644" i="3"/>
  <c r="D646" i="3"/>
  <c r="D647" i="3"/>
  <c r="B654" i="3"/>
  <c r="C654" i="3"/>
  <c r="B658" i="3"/>
  <c r="C658" i="3"/>
  <c r="D659" i="3"/>
  <c r="D661" i="3"/>
  <c r="D658" i="3"/>
  <c r="D312" i="1"/>
  <c r="H312" i="1"/>
  <c r="B662" i="3"/>
  <c r="C662" i="3"/>
  <c r="D662" i="3"/>
  <c r="D663" i="3"/>
  <c r="D664" i="3"/>
  <c r="B665" i="3"/>
  <c r="C665" i="3"/>
  <c r="D665" i="3"/>
  <c r="D666" i="3"/>
  <c r="D667" i="3"/>
  <c r="B668" i="3"/>
  <c r="C668" i="3"/>
  <c r="H316" i="1"/>
  <c r="B673" i="3"/>
  <c r="C673" i="3"/>
  <c r="D673" i="3"/>
  <c r="B674" i="3"/>
  <c r="C674" i="3"/>
  <c r="D674" i="3"/>
  <c r="B675" i="3"/>
  <c r="C675" i="3"/>
  <c r="D675" i="3"/>
  <c r="B676" i="3"/>
  <c r="C676" i="3"/>
  <c r="D676" i="3"/>
  <c r="B677" i="3"/>
  <c r="C677" i="3"/>
  <c r="D677" i="3"/>
  <c r="B678" i="3"/>
  <c r="C678" i="3"/>
  <c r="D678" i="3"/>
  <c r="B682" i="3"/>
  <c r="C682" i="3"/>
  <c r="D682" i="3"/>
  <c r="D686" i="3"/>
  <c r="D330" i="1"/>
  <c r="H330" i="1"/>
  <c r="D687" i="3"/>
  <c r="D331" i="1"/>
  <c r="H331" i="1"/>
  <c r="D688" i="3"/>
  <c r="D332" i="1"/>
  <c r="H332" i="1"/>
  <c r="B692" i="3"/>
  <c r="C692" i="3"/>
  <c r="D695" i="3"/>
  <c r="D694" i="3"/>
  <c r="D699" i="3"/>
  <c r="D703" i="3"/>
  <c r="D702" i="3"/>
  <c r="D705" i="3"/>
  <c r="D707" i="3"/>
  <c r="D709" i="3"/>
  <c r="D706" i="3"/>
  <c r="D711" i="3"/>
  <c r="D710" i="3"/>
  <c r="D713" i="3"/>
  <c r="D715" i="3"/>
  <c r="D717" i="3"/>
  <c r="D714" i="3"/>
  <c r="D719" i="3"/>
  <c r="D721" i="3"/>
  <c r="D723" i="3"/>
  <c r="D725" i="3"/>
  <c r="D727" i="3"/>
  <c r="D726" i="3"/>
  <c r="D729" i="3"/>
  <c r="D731" i="3"/>
  <c r="D733" i="3"/>
  <c r="D730" i="3"/>
  <c r="D735" i="3"/>
  <c r="D734" i="3"/>
  <c r="D737" i="3"/>
  <c r="D739" i="3"/>
  <c r="D741" i="3"/>
  <c r="D743" i="3"/>
  <c r="D742" i="3"/>
  <c r="D745" i="3"/>
  <c r="D749" i="3"/>
  <c r="D746" i="3"/>
  <c r="D751" i="3"/>
  <c r="D750" i="3"/>
  <c r="D753" i="3"/>
  <c r="D755" i="3"/>
  <c r="D757" i="3"/>
  <c r="D759" i="3"/>
  <c r="D758" i="3"/>
  <c r="D761" i="3"/>
  <c r="D763" i="3"/>
  <c r="D765" i="3"/>
  <c r="D762" i="3"/>
  <c r="D767" i="3"/>
  <c r="D766" i="3"/>
  <c r="D773" i="3"/>
  <c r="D775" i="3"/>
  <c r="D774" i="3"/>
  <c r="D777" i="3"/>
  <c r="D778" i="3"/>
  <c r="D779" i="3"/>
  <c r="D780" i="3"/>
  <c r="D781" i="3"/>
  <c r="B828" i="3"/>
  <c r="C828" i="3"/>
  <c r="D828" i="3"/>
  <c r="B829" i="3"/>
  <c r="C829" i="3"/>
  <c r="D829" i="3"/>
  <c r="B830" i="3"/>
  <c r="C830" i="3"/>
  <c r="D830" i="3"/>
  <c r="D831" i="3"/>
  <c r="D348" i="1"/>
  <c r="H348" i="1"/>
  <c r="D832" i="3"/>
  <c r="D833" i="3"/>
  <c r="B836" i="3"/>
  <c r="C836" i="3"/>
  <c r="D836" i="3"/>
  <c r="D350" i="1"/>
  <c r="H350" i="1"/>
  <c r="H12" i="1"/>
  <c r="H13" i="1"/>
  <c r="H14" i="1"/>
  <c r="H15" i="1"/>
  <c r="H16" i="1"/>
  <c r="H17" i="1"/>
  <c r="H18" i="1"/>
  <c r="H19" i="1"/>
  <c r="H23" i="1"/>
  <c r="H24" i="1"/>
  <c r="I24" i="1"/>
  <c r="D27" i="1"/>
  <c r="D27" i="3"/>
  <c r="H28" i="1"/>
  <c r="H30" i="1"/>
  <c r="I30" i="1"/>
  <c r="H29" i="1"/>
  <c r="D33" i="1"/>
  <c r="H33" i="1"/>
  <c r="D34" i="1"/>
  <c r="H34" i="1"/>
  <c r="D35" i="1"/>
  <c r="D38" i="3"/>
  <c r="D36" i="1"/>
  <c r="D39" i="3"/>
  <c r="D37" i="1"/>
  <c r="H37" i="1"/>
  <c r="H38" i="1"/>
  <c r="D39" i="1"/>
  <c r="D45" i="3"/>
  <c r="H54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D93" i="1"/>
  <c r="D132" i="3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32" i="1"/>
  <c r="H133" i="1"/>
  <c r="H134" i="1"/>
  <c r="H135" i="1"/>
  <c r="H136" i="1"/>
  <c r="H137" i="1"/>
  <c r="H139" i="1"/>
  <c r="H140" i="1"/>
  <c r="H141" i="1"/>
  <c r="H142" i="1"/>
  <c r="H143" i="1"/>
  <c r="H145" i="1"/>
  <c r="H146" i="1"/>
  <c r="H147" i="1"/>
  <c r="H148" i="1"/>
  <c r="H150" i="1"/>
  <c r="H151" i="1"/>
  <c r="H152" i="1"/>
  <c r="H154" i="1"/>
  <c r="H155" i="1"/>
  <c r="H156" i="1"/>
  <c r="H157" i="1"/>
  <c r="H158" i="1"/>
  <c r="H160" i="1"/>
  <c r="H161" i="1"/>
  <c r="H162" i="1"/>
  <c r="H163" i="1"/>
  <c r="H164" i="1"/>
  <c r="H170" i="1"/>
  <c r="H171" i="1"/>
  <c r="H172" i="1"/>
  <c r="H173" i="1"/>
  <c r="H175" i="1"/>
  <c r="H176" i="1"/>
  <c r="H177" i="1"/>
  <c r="H178" i="1"/>
  <c r="H180" i="1"/>
  <c r="H181" i="1"/>
  <c r="H182" i="1"/>
  <c r="H183" i="1"/>
  <c r="H184" i="1"/>
  <c r="H186" i="1"/>
  <c r="H187" i="1"/>
  <c r="H188" i="1"/>
  <c r="H190" i="1"/>
  <c r="H192" i="1"/>
  <c r="H195" i="1"/>
  <c r="H196" i="1"/>
  <c r="H197" i="1"/>
  <c r="H198" i="1"/>
  <c r="H200" i="1"/>
  <c r="H201" i="1"/>
  <c r="H202" i="1"/>
  <c r="H203" i="1"/>
  <c r="H204" i="1"/>
  <c r="H205" i="1"/>
  <c r="H206" i="1"/>
  <c r="H208" i="1"/>
  <c r="H209" i="1"/>
  <c r="H210" i="1"/>
  <c r="H212" i="1"/>
  <c r="H213" i="1"/>
  <c r="H214" i="1"/>
  <c r="H215" i="1"/>
  <c r="H216" i="1"/>
  <c r="H217" i="1"/>
  <c r="H219" i="1"/>
  <c r="H220" i="1"/>
  <c r="H221" i="1"/>
  <c r="H222" i="1"/>
  <c r="H224" i="1"/>
  <c r="H225" i="1"/>
  <c r="H226" i="1"/>
  <c r="H227" i="1"/>
  <c r="H228" i="1"/>
  <c r="H230" i="1"/>
  <c r="H231" i="1"/>
  <c r="H232" i="1"/>
  <c r="H233" i="1"/>
  <c r="H235" i="1"/>
  <c r="H236" i="1"/>
  <c r="H237" i="1"/>
  <c r="H239" i="1"/>
  <c r="H240" i="1"/>
  <c r="D241" i="1"/>
  <c r="H241" i="1"/>
  <c r="H242" i="1"/>
  <c r="H249" i="1"/>
  <c r="H274" i="1"/>
  <c r="H275" i="1"/>
  <c r="H276" i="1"/>
  <c r="H277" i="1"/>
  <c r="H278" i="1"/>
  <c r="D282" i="1"/>
  <c r="D383" i="3"/>
  <c r="D283" i="1"/>
  <c r="D384" i="3"/>
  <c r="D284" i="1"/>
  <c r="D385" i="3"/>
  <c r="H285" i="1"/>
  <c r="D286" i="1"/>
  <c r="H286" i="1"/>
  <c r="H287" i="1"/>
  <c r="H288" i="1"/>
  <c r="H308" i="1"/>
  <c r="H309" i="1"/>
  <c r="I309" i="1"/>
  <c r="H313" i="1"/>
  <c r="H317" i="1"/>
  <c r="I317" i="1"/>
  <c r="H314" i="1"/>
  <c r="H315" i="1"/>
  <c r="H320" i="1"/>
  <c r="H321" i="1"/>
  <c r="H322" i="1"/>
  <c r="H323" i="1"/>
  <c r="H324" i="1"/>
  <c r="H325" i="1"/>
  <c r="H326" i="1"/>
  <c r="H343" i="1"/>
  <c r="H345" i="1"/>
  <c r="H346" i="1"/>
  <c r="H347" i="1"/>
  <c r="H349" i="1"/>
  <c r="H39" i="1"/>
  <c r="H36" i="1"/>
  <c r="D387" i="3"/>
  <c r="H35" i="1"/>
  <c r="D639" i="3"/>
  <c r="D593" i="3"/>
  <c r="D565" i="3"/>
  <c r="D557" i="3"/>
  <c r="D825" i="3"/>
  <c r="D344" i="1"/>
  <c r="H344" i="1"/>
  <c r="D428" i="3"/>
  <c r="D416" i="3"/>
  <c r="D698" i="3"/>
  <c r="D95" i="1"/>
  <c r="H95" i="1"/>
  <c r="D78" i="3"/>
  <c r="D50" i="1"/>
  <c r="H50" i="1"/>
  <c r="D561" i="3"/>
  <c r="D424" i="3"/>
  <c r="D754" i="3"/>
  <c r="D472" i="3"/>
  <c r="D456" i="3"/>
  <c r="D448" i="3"/>
  <c r="D60" i="3"/>
  <c r="D45" i="1"/>
  <c r="H45" i="1"/>
  <c r="D617" i="3"/>
  <c r="D597" i="3"/>
  <c r="H261" i="1"/>
  <c r="H262" i="1"/>
  <c r="I262" i="1"/>
  <c r="D53" i="3"/>
  <c r="D521" i="3"/>
  <c r="D440" i="3"/>
  <c r="D432" i="3"/>
  <c r="D408" i="3"/>
  <c r="D738" i="3"/>
  <c r="D718" i="3"/>
  <c r="D581" i="3"/>
  <c r="D573" i="3"/>
  <c r="D464" i="3"/>
  <c r="D288" i="3"/>
  <c r="D287" i="3"/>
  <c r="D248" i="1"/>
  <c r="H248" i="1"/>
  <c r="H40" i="1"/>
  <c r="D33" i="3"/>
  <c r="D84" i="3"/>
  <c r="D88" i="3"/>
  <c r="D53" i="1"/>
  <c r="H53" i="1"/>
  <c r="D52" i="1"/>
  <c r="H52" i="1"/>
  <c r="D81" i="3"/>
  <c r="D51" i="1"/>
  <c r="H51" i="1"/>
  <c r="D722" i="3"/>
  <c r="D643" i="3"/>
  <c r="D625" i="3"/>
  <c r="D304" i="1"/>
  <c r="H304" i="1"/>
  <c r="D601" i="3"/>
  <c r="D460" i="3"/>
  <c r="D301" i="3"/>
  <c r="D71" i="3"/>
  <c r="D48" i="1"/>
  <c r="H48" i="1"/>
  <c r="H27" i="1"/>
  <c r="H93" i="1"/>
  <c r="H283" i="1"/>
  <c r="D402" i="3"/>
  <c r="D301" i="1"/>
  <c r="H301" i="1"/>
  <c r="H351" i="1"/>
  <c r="I351" i="1"/>
  <c r="H282" i="1"/>
  <c r="D37" i="3"/>
  <c r="D135" i="3"/>
  <c r="H284" i="1"/>
  <c r="H293" i="1"/>
  <c r="I293" i="1"/>
  <c r="D367" i="3"/>
  <c r="D269" i="1"/>
  <c r="H269" i="1"/>
  <c r="D783" i="3"/>
  <c r="D337" i="1"/>
  <c r="H337" i="1"/>
  <c r="D692" i="3"/>
  <c r="D336" i="1"/>
  <c r="H336" i="1"/>
  <c r="H333" i="1"/>
  <c r="I333" i="1"/>
  <c r="D577" i="3"/>
  <c r="D519" i="3"/>
  <c r="D303" i="1"/>
  <c r="H303" i="1"/>
  <c r="H305" i="1"/>
  <c r="I305" i="1"/>
  <c r="D493" i="3"/>
  <c r="D302" i="1"/>
  <c r="H302" i="1"/>
  <c r="D307" i="3"/>
  <c r="D253" i="1"/>
  <c r="H253" i="1"/>
  <c r="H254" i="1"/>
  <c r="I254" i="1"/>
  <c r="H340" i="1"/>
  <c r="I340" i="1"/>
  <c r="H327" i="1"/>
  <c r="I327" i="1"/>
  <c r="H271" i="1"/>
  <c r="I271" i="1"/>
  <c r="H55" i="1"/>
  <c r="I55" i="1"/>
  <c r="H42" i="1"/>
  <c r="I42" i="1"/>
  <c r="H127" i="1"/>
  <c r="I127" i="1"/>
  <c r="H245" i="1"/>
  <c r="I245" i="1"/>
  <c r="H250" i="1"/>
  <c r="I250" i="1"/>
  <c r="H279" i="1"/>
  <c r="I279" i="1"/>
  <c r="H20" i="1"/>
  <c r="I20" i="1"/>
  <c r="I356" i="1"/>
  <c r="H354" i="1"/>
  <c r="H355" i="1"/>
  <c r="H356" i="1"/>
</calcChain>
</file>

<file path=xl/sharedStrings.xml><?xml version="1.0" encoding="utf-8"?>
<sst xmlns="http://schemas.openxmlformats.org/spreadsheetml/2006/main" count="2869" uniqueCount="1125">
  <si>
    <t>ITEM</t>
  </si>
  <si>
    <t>QUANT.</t>
  </si>
  <si>
    <t>UND.</t>
  </si>
  <si>
    <t>TOTAL</t>
  </si>
  <si>
    <t>1.2</t>
  </si>
  <si>
    <t>2.1</t>
  </si>
  <si>
    <t>3.1</t>
  </si>
  <si>
    <t>PREFEITURA MUICIPAL DE CATALÃO - GO</t>
  </si>
  <si>
    <t>3.2</t>
  </si>
  <si>
    <t>SECRETARIA DE OBRAS</t>
  </si>
  <si>
    <t>1.3</t>
  </si>
  <si>
    <t>1.4</t>
  </si>
  <si>
    <t>1.5</t>
  </si>
  <si>
    <t>Grupo de Serviço: 164 - Serviços Preliminares</t>
  </si>
  <si>
    <t>SERVIÇOS PRELIMINARES</t>
  </si>
  <si>
    <t>1.6</t>
  </si>
  <si>
    <t>1.7</t>
  </si>
  <si>
    <t>1.8</t>
  </si>
  <si>
    <t>RASPAGEM E LIMPEZA MANUAL DO TERRENO</t>
  </si>
  <si>
    <t>LOCAÇÃO DA OBRA, EXECUÇÃO DE GABARITO SEM REAPROVEITAMENTO, INCLUSO PINTURA (FACE INTERNA DO RIPÃO 5CM) E PIQUETE COM TESTEMUNHA</t>
  </si>
  <si>
    <t>MATERIAL</t>
  </si>
  <si>
    <t>MÃO-DE-OBRA</t>
  </si>
  <si>
    <t>SUBTOTAL</t>
  </si>
  <si>
    <t>Grupo de Serviço: 165 - Transportes</t>
  </si>
  <si>
    <t>TRANSPORTES</t>
  </si>
  <si>
    <t>Grupo de Serviço: 166 - Serviços em Terra</t>
  </si>
  <si>
    <t>MEMÓRIA DE CÁLCULO</t>
  </si>
  <si>
    <t>DESCRIÇÃO</t>
  </si>
  <si>
    <t>SERVIÇO EM TERRA</t>
  </si>
  <si>
    <t>ESCAVACAO MANUAL DE VALAS &lt; 1 MTS. (OBRAS CIVIS)</t>
  </si>
  <si>
    <t>3.3</t>
  </si>
  <si>
    <t>Grupo de Serviço: 167 - Fundações e Sondagens</t>
  </si>
  <si>
    <t>FUNDAÇÕES E SONDAGENS</t>
  </si>
  <si>
    <t>M</t>
  </si>
  <si>
    <t>M2</t>
  </si>
  <si>
    <t>M3</t>
  </si>
  <si>
    <t>ACO CA 50-A - 8,0 MM (5/16") - (OBRAS CIVIS)</t>
  </si>
  <si>
    <t>KG</t>
  </si>
  <si>
    <t>Grupo de Serviço: 168 - Estrututras</t>
  </si>
  <si>
    <t>ESTRUTURA</t>
  </si>
  <si>
    <t>4.1</t>
  </si>
  <si>
    <t>4.2</t>
  </si>
  <si>
    <t>4.3</t>
  </si>
  <si>
    <t>4.5</t>
  </si>
  <si>
    <t>4.6</t>
  </si>
  <si>
    <t>4.8</t>
  </si>
  <si>
    <t>5.1</t>
  </si>
  <si>
    <t>5.2</t>
  </si>
  <si>
    <t>5.3</t>
  </si>
  <si>
    <t>5.5</t>
  </si>
  <si>
    <t>5.6</t>
  </si>
  <si>
    <t>ACO CA-50A - 10,0 MM (3/8") - (OBRAS CIVIS)</t>
  </si>
  <si>
    <t>5.7</t>
  </si>
  <si>
    <t>5.8</t>
  </si>
  <si>
    <t>Grupo de Serviço: 169 - Instalações Elét./Telefônica/Cabeamento Estruturado</t>
  </si>
  <si>
    <t>INST. ELÉT./TELEFÔNICA/CABEAMENTO ESTRUTURADO</t>
  </si>
  <si>
    <t>6.1</t>
  </si>
  <si>
    <t>Grupo de Serviço: 170 - Instalações Hidro-Sanitárias</t>
  </si>
  <si>
    <t>INSTALAÇÕES HIDRO-SANITÁRIAS</t>
  </si>
  <si>
    <t>ALVENARIAS E DIVISÓRIAS</t>
  </si>
  <si>
    <t>Grupo de Serviço: 172 - Alvenarias e Divisórias</t>
  </si>
  <si>
    <t>Grupo de Serviço: 174 - Impermeabilização</t>
  </si>
  <si>
    <t>IMPERMEABILIZAÇÃO</t>
  </si>
  <si>
    <t>ESTRUTURAS METÁLICAS</t>
  </si>
  <si>
    <t>COBERTURAS</t>
  </si>
  <si>
    <t>ESQUADRIAS METÁLICAS</t>
  </si>
  <si>
    <t>Grupo de Serviço: 180 - Esquadrias Metálicas</t>
  </si>
  <si>
    <t>Grupo de Serviço: 178 - Coberturas</t>
  </si>
  <si>
    <t>Grupo de Serviço: 181 - Vidros</t>
  </si>
  <si>
    <t>VIDROS</t>
  </si>
  <si>
    <t>CAIXA METALICA QUADRADA 4"X4"X2"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</si>
  <si>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</si>
  <si>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</si>
  <si>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</si>
  <si>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</si>
  <si>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</si>
  <si>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</si>
  <si>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</si>
  <si>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</si>
  <si>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</si>
  <si>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</si>
  <si>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ELETRODUTO PVC FLEXÍVEL - MANGUEIRA CORRUGADA - DIAM. 3/4"</t>
  </si>
  <si>
    <t>FIO ISOLADO PVC 750 V, No. 4 MM2</t>
  </si>
  <si>
    <t>HASTE REV.COBRE(COPPERWELD) 3/4" X 2,40 M C/CONECTOR</t>
  </si>
  <si>
    <t>INTERRUPTOR SIMPLES (1 SECAO)</t>
  </si>
  <si>
    <t>FIO ISOLADO PVC 750 V, No. 2,5 MM2</t>
  </si>
  <si>
    <t>DISJUNTOR MONOPOLAR DE 10 A 30-A</t>
  </si>
  <si>
    <t>INTERRUPTOR SIMPLES (2 SECOES)</t>
  </si>
  <si>
    <t>6.12</t>
  </si>
  <si>
    <t>6.13</t>
  </si>
  <si>
    <t>6.14</t>
  </si>
  <si>
    <t>6.15</t>
  </si>
  <si>
    <t>6.16</t>
  </si>
  <si>
    <t>6.17</t>
  </si>
  <si>
    <t>6.18</t>
  </si>
  <si>
    <t>TOMADA HEXAGONAL 2P + T - 10A - 250V</t>
  </si>
  <si>
    <t>6.19</t>
  </si>
  <si>
    <t>CAIXA DAGUA POLIETILENO 1000 LTS. C/TAMPA</t>
  </si>
  <si>
    <t>TORNEIRA PARA LAVATÓRIO DIÂMETRO 1/2"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</si>
  <si>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</si>
  <si>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</si>
  <si>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</si>
  <si>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</si>
  <si>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</si>
  <si>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</si>
  <si>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</si>
  <si>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</si>
  <si>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</si>
  <si>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</si>
  <si>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</si>
  <si>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</si>
  <si>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Grupo de Serviço: 189 - Diversos</t>
  </si>
  <si>
    <t>DIVERSOS</t>
  </si>
  <si>
    <t>SUPORTE PARA BANCADA EM FERRO "T" 1/8" X 1 1/4"</t>
  </si>
  <si>
    <t>LIGAÇÃO FLEXÍVEL PVC DIAM.1/2" (ENGATE)</t>
  </si>
  <si>
    <t>REGISTRO DE GAVETA BRUTO DIAMETRO 3/4"</t>
  </si>
  <si>
    <t>R E G I S T R O S</t>
  </si>
  <si>
    <t>L A V A T O R I O / A C E S S O R I O S</t>
  </si>
  <si>
    <t>D I V E R S O S</t>
  </si>
  <si>
    <t>AGUA FRIA</t>
  </si>
  <si>
    <t>T U B O S  DE  P V C  S O L D A V E L</t>
  </si>
  <si>
    <t>A D A P T A D O R E S  DE  P V C  S O L D A V E L</t>
  </si>
  <si>
    <t>L U V A S  DE  P V C</t>
  </si>
  <si>
    <t>LUVA SOLDAVEL DIAMETRO 25 mm</t>
  </si>
  <si>
    <t>J O E L H O S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</si>
  <si>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</si>
  <si>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</si>
  <si>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</si>
  <si>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</si>
  <si>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</si>
  <si>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</si>
  <si>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</si>
  <si>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</si>
  <si>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</si>
  <si>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</si>
  <si>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</si>
  <si>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</si>
  <si>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7.27</t>
  </si>
  <si>
    <t>7.28</t>
  </si>
  <si>
    <t>7.29</t>
  </si>
  <si>
    <t xml:space="preserve">T E </t>
  </si>
  <si>
    <t>TE 90 GRAUS DIAMETRO 40 MM - ESGOTO</t>
  </si>
  <si>
    <t>T A N Q U E S / T O R N E I R A S J A R D I M S</t>
  </si>
  <si>
    <t>L O U C A S E M E T A I S</t>
  </si>
  <si>
    <t>JOELHO 90 GRAUS SOLDAVEL DIAMETRO 25 MM</t>
  </si>
  <si>
    <t>A D E S I V O S</t>
  </si>
  <si>
    <t xml:space="preserve"> ADESIVO PLASTICO - BISNAGA 75 G</t>
  </si>
  <si>
    <t>G R E L H A S</t>
  </si>
  <si>
    <t>GRELHA QUADRADA ACO INOX ROTATIVO DIAM.150 MM</t>
  </si>
  <si>
    <t>GRELHA QUADRADA ACO INOX ROTATIVO DIAM.100 MM</t>
  </si>
  <si>
    <t>CAIXA DE PASSAGEM 60 X 60 CM SEM TAMPA</t>
  </si>
  <si>
    <t>ESGOTO SANITÁRIO</t>
  </si>
  <si>
    <t>TAMPA EM CONCRETO ARMADO 25 MPA E=5CM PARA A CAIXA DE PASSAGEM 60X60CM</t>
  </si>
  <si>
    <t xml:space="preserve">T U B O S </t>
  </si>
  <si>
    <t>TUBO SOLD.P/ESGOTO DIAM. 40 MM</t>
  </si>
  <si>
    <t>TUBO SOLDAVEL P/ESGOTO DIAM.75 MM</t>
  </si>
  <si>
    <t xml:space="preserve">TUBO SOLDAVEL P/ESGOTO DIAM. 100 MM </t>
  </si>
  <si>
    <t>7.25</t>
  </si>
  <si>
    <t>7.26</t>
  </si>
  <si>
    <t>7.30</t>
  </si>
  <si>
    <t>7.36</t>
  </si>
  <si>
    <t>7.37</t>
  </si>
  <si>
    <t>7.38</t>
  </si>
  <si>
    <t>7.39</t>
  </si>
  <si>
    <t>7.40</t>
  </si>
  <si>
    <t>7.41</t>
  </si>
  <si>
    <t>7.42</t>
  </si>
  <si>
    <t>7.43</t>
  </si>
  <si>
    <t>7.44</t>
  </si>
  <si>
    <t>7.45</t>
  </si>
  <si>
    <t>7.46</t>
  </si>
  <si>
    <t>7.47</t>
  </si>
  <si>
    <t>JOELHO 90 GRAUS DIAMETRO 100 MM</t>
  </si>
  <si>
    <t>7.48</t>
  </si>
  <si>
    <t>7.49</t>
  </si>
  <si>
    <t>7.50</t>
  </si>
  <si>
    <t>7.51</t>
  </si>
  <si>
    <t>7.52</t>
  </si>
  <si>
    <t>9.1</t>
  </si>
  <si>
    <t>RUFO DE CHAPA GALVANIZADA</t>
  </si>
  <si>
    <t>COBERTURA C/TELHA ONDULADA OU EQUIV.</t>
  </si>
  <si>
    <t>10.1</t>
  </si>
  <si>
    <t>14.1</t>
  </si>
  <si>
    <t>REVESTIMENTOS DE PAREDES</t>
  </si>
  <si>
    <t>Grupo de Serviço: 182 - Revestimento de Paredes</t>
  </si>
  <si>
    <t>EMBOÇO (1CI:4 ARML)</t>
  </si>
  <si>
    <t>CHAPISCO COMUM</t>
  </si>
  <si>
    <t>REBOCO PAULISTA A-14 (1CALH:4ARMLC+100kgCI/M3)</t>
  </si>
  <si>
    <t>REVESTIMENTO COM CERÂMICA</t>
  </si>
  <si>
    <t>REVESTIMENTOS DE PISO</t>
  </si>
  <si>
    <t>PISO EM CERÂMICA PEI-5 COM CONTRAPISO (1CI:3ARML) E ARGAMASSA COLANTE</t>
  </si>
  <si>
    <t>15.1</t>
  </si>
  <si>
    <t>15.2</t>
  </si>
  <si>
    <t>15.3</t>
  </si>
  <si>
    <t>15.4</t>
  </si>
  <si>
    <t>16.1</t>
  </si>
  <si>
    <t>PISO EM CONCRETO DESEMPENADO ESPESSURA = 7 CM 1:2,5:3,5</t>
  </si>
  <si>
    <t>Grupo de Serviço: 188 - Pintura</t>
  </si>
  <si>
    <t>12.1</t>
  </si>
  <si>
    <t>12.2</t>
  </si>
  <si>
    <t>12.3</t>
  </si>
  <si>
    <t>13.1</t>
  </si>
  <si>
    <t>13.2</t>
  </si>
  <si>
    <t>13.3</t>
  </si>
  <si>
    <t>17.1</t>
  </si>
  <si>
    <t>18.1</t>
  </si>
  <si>
    <t>18.2</t>
  </si>
  <si>
    <t>18.3</t>
  </si>
  <si>
    <t>PINTURA</t>
  </si>
  <si>
    <t>PINTURA LATEX ACRILICA 2 DEMAOS C/SELADOR</t>
  </si>
  <si>
    <t>PLACA DE INAUGURACAO ACO ESCOVADO 80 X 60 CM</t>
  </si>
  <si>
    <t>LIMPEZA FINAL DE OBRA - (OBRAS CIVIS)</t>
  </si>
  <si>
    <t>BANCADA DE GRANITO C/ESPELHO</t>
  </si>
  <si>
    <t>CUBA DE LOUÇA REDONDA DE EMBUTIR</t>
  </si>
  <si>
    <t>Grupo de Serviço: 183 - Forros</t>
  </si>
  <si>
    <t>FORROS</t>
  </si>
  <si>
    <t>Grupo de Serviço: 184 - Revestimento de Piso</t>
  </si>
  <si>
    <t>TOTAL C/ BDI</t>
  </si>
  <si>
    <t>P I A / A C E S S O R I O S</t>
  </si>
  <si>
    <t>TUBO SOLDAVEL PVC MARROM DIAMETRO 25 mm</t>
  </si>
  <si>
    <t>UNIDADE</t>
  </si>
  <si>
    <t>QUANTIDADE</t>
  </si>
  <si>
    <t>CÓDIGO</t>
  </si>
  <si>
    <t>8.1</t>
  </si>
  <si>
    <t>8.2</t>
  </si>
  <si>
    <t>8.3</t>
  </si>
  <si>
    <t>PREPARO COM BETONEIRA E TRANSPORTE MANUAL DE CONCRETO FCK=25 MPA</t>
  </si>
  <si>
    <t>17.2</t>
  </si>
  <si>
    <t>17.3</t>
  </si>
  <si>
    <t>Grupo de Serviço: 187 - Administração - Mensalistas</t>
  </si>
  <si>
    <t>ADMINISTRAÇÃO - MENSALISTAS</t>
  </si>
  <si>
    <t>H</t>
  </si>
  <si>
    <t>ENCARREGADO - (OBRAS CIVIS)</t>
  </si>
  <si>
    <t>VIGIA DE OBRAS - (NOTURNO) - OBRAS CIVIS</t>
  </si>
  <si>
    <t>19.1</t>
  </si>
  <si>
    <t>19.2</t>
  </si>
  <si>
    <t>20.1</t>
  </si>
  <si>
    <t>20.2</t>
  </si>
  <si>
    <t>20.3</t>
  </si>
  <si>
    <t>14.2</t>
  </si>
  <si>
    <t>VIDRO TEMPERADO 10 MM - COLOCADO</t>
  </si>
  <si>
    <t>6.20</t>
  </si>
  <si>
    <t>CUBA INOX 50X40X20CM E=0,7MM-AÇO 304</t>
  </si>
  <si>
    <t>ACO CA-50A - 6,3 MM (1/4") - (OBRAS CIVIS)</t>
  </si>
  <si>
    <t xml:space="preserve">MEMÓRIA DE CALCULO </t>
  </si>
  <si>
    <t>VALVULA P/PIA TIPO AMERICANA DIÂMETRO 3.1/2" (METAL)</t>
  </si>
  <si>
    <t xml:space="preserve">TANQUE MARMORE/GRANITO SINTÉTICO 1 BATEDOR </t>
  </si>
  <si>
    <t>VÁLVULA PARA TANQUE PVC</t>
  </si>
  <si>
    <t>TORNEIRA DE PAREDE DIAM. 1/2" E 3/4" P/TANQUE</t>
  </si>
  <si>
    <t>REGISTRO DE GAVETA BRUTO DIAMETRO 1"</t>
  </si>
  <si>
    <t>REGISTRO DE GAVETA C/CANOPLA DIAMETRO 1"</t>
  </si>
  <si>
    <t>REGISTRO DE PRESSÃO C/CANOPLA DIAMETRO 3/4"</t>
  </si>
  <si>
    <t>TUBO SOLDAVEL PVC MARROM DIAMETRO 32 mm</t>
  </si>
  <si>
    <t>ADAPTAD.PVC SOLD.LONGO C/FLANGES LIVRES P/CX.DAGUA 25X3/4"</t>
  </si>
  <si>
    <t>ADAPTAD.SOLD.CURTO C/BOLSA E ROSCA P/REG.25X3/4"</t>
  </si>
  <si>
    <t>ADAPTADOR SOLD.C/FLANGES LIVRES P/CX.DAGUA 32X1"</t>
  </si>
  <si>
    <t>ADAPTAD.SOLD.CURTO C/BOLSA E ROSCA P/REG.32X1"</t>
  </si>
  <si>
    <t>LUVA SOLDAVEL DIAMETRO 32 mm</t>
  </si>
  <si>
    <t>LUVA DE REDUCAO SOLDAVEL DIAMETRO 32 X 25 mm</t>
  </si>
  <si>
    <t>LUVA SOLDAVEL C/ROSCA DIAMETRO 25 X 3/4"</t>
  </si>
  <si>
    <t>JOELHO 90 GRAUS SOLDAVEL DIAMETRO 32 MM</t>
  </si>
  <si>
    <t>JOELHO RED.90 GRAUS SOLD.C/BUCHA LATAO 25X1/2"</t>
  </si>
  <si>
    <t>JOELHO 90 GRAUS SOLD. C/BUCHA LATAO 25 X 3/4"</t>
  </si>
  <si>
    <t>JOELHO REDUÇÃO 90º SOLDÁVEL 32 MM X 25 MM</t>
  </si>
  <si>
    <t>TE 90 GRAUS SOLDAVEL DIAMETRO 25 mm</t>
  </si>
  <si>
    <t>TE 90 GRAUS SOLDAVEL DIAMETRO 32 mm</t>
  </si>
  <si>
    <t>TE REDUCAO 90 GRAUS SOLDAVEL 32 X 25 mm</t>
  </si>
  <si>
    <t>C U R V A S</t>
  </si>
  <si>
    <t>CURVA 90 GRAUS SOLDAVEL DIAMETRO 32 mm</t>
  </si>
  <si>
    <t>ANEL DE VEDAÇÃO PARA VASO SANITÁRIO</t>
  </si>
  <si>
    <t>CONJUNTO DE FIXACAO P/VASO SANITARIO (PAR)</t>
  </si>
  <si>
    <t>CJ</t>
  </si>
  <si>
    <t>ASSENTO P/VASO SANITÁRIO 2ª LINHA</t>
  </si>
  <si>
    <t>V A S O S A N I T A R I O / A C E S S O R I O S</t>
  </si>
  <si>
    <t>TUBO DE LIGACAO PVC CROMADO 1.1/2" / ESPUDE - (ENTRADA)</t>
  </si>
  <si>
    <t>SIFAO FLEXIVEL UNIVERSAL ( SANFONADO) EM PVC CROMADO PARA LAVATORIO</t>
  </si>
  <si>
    <t>VALVULA P/LAVATORIO PVC DIAMETRO 1"</t>
  </si>
  <si>
    <t>TORNEIRA P/PIA DIAM. 1/2" E 3/4" DE MESA - BICA MÓVEL</t>
  </si>
  <si>
    <t>SIFAO P/PIA 1.1/2"X2" PVC CROMADO</t>
  </si>
  <si>
    <t>F I L T R O / C H U V E I R O</t>
  </si>
  <si>
    <t>CHUVEIRO ELÉTRICO EM PVC COM BRAÇO METÁLICO</t>
  </si>
  <si>
    <t>SABONETEIRA EM PVC</t>
  </si>
  <si>
    <t>SIFAO P/TANQUE 1" X 1.1/2" - PVC</t>
  </si>
  <si>
    <t xml:space="preserve">REGISTRO DE GAVETA C/CANOPLA DIAMETRO 3/4" </t>
  </si>
  <si>
    <t>7.31</t>
  </si>
  <si>
    <t xml:space="preserve">VASO SANITÁRIO COM CAIXA ACOPLADA 1ª LINHA COMPLETO - S/ ASSENTO </t>
  </si>
  <si>
    <t>ENDEREÇO: RUA BELÉM, S/N, BAIRRO: VILA DONA ERONDINA</t>
  </si>
  <si>
    <t>FERRAMENTAS (MANUAIS/ELÉTRICAS) E MATERIAL DE LIMPEZA PERMANENTE DA OBRA - ÁREAS EDIFICADAS/COBERTAS/FECHADAS</t>
  </si>
  <si>
    <t>BARRACÃO DE OBRAS PADRÃO AGETOP/2014 ( BLOCOS,COBERTURAS,PASSARELAS E MÓVEIS), SEM ALOJAMENTO E LAVANDERIA , COM PINTURA, EM CONSONÂNCIA COM AS NR's, EM ESPECIAL A NR-18, INCLUSO INSTALAÇÕES ELÉTRICAS E HIDROSSANITÁRIAS - ( COM REAPROVEITAMENTO 1 VEZ ).</t>
  </si>
  <si>
    <t>LAJE CIRCULAR PARA POÇOS (CISTERNA) COM ENCABEÇAMENTO</t>
  </si>
  <si>
    <t>EPI/PPRA/PCMSO/EXAMES/TREINAMENTOS/VISITAS (&lt; 20 EMPREGADOS) - ÁREAS EDIFICADAS/COBERTAS/FECHADAS</t>
  </si>
  <si>
    <t>PLACA DE OBRA EM CHAPA METÁLICA 26 COM PINTURA, AFIXADA EM CAVALETES DE MADEIRA DE LEI (VIGOTAS 6X12CM) - PADRÃO AGETOP</t>
  </si>
  <si>
    <t>APILOAMENTO MECÂNICO</t>
  </si>
  <si>
    <t>-</t>
  </si>
  <si>
    <t>FORRO DE GESSO SOB LAJE PREMOLDADA</t>
  </si>
  <si>
    <t>CUMEEIRA P/TELHA ONDULADA OU EQUIV</t>
  </si>
  <si>
    <t>12.4</t>
  </si>
  <si>
    <t>12.5</t>
  </si>
  <si>
    <t>ACO CA-60 - 5,0 MM - (OBRAS CIVIS)</t>
  </si>
  <si>
    <t>LANÇAMENTO/APLICAÇÃO/ADENSAMENTO DE CONCRETO EM FUNDAÇÃO- (O.C.)</t>
  </si>
  <si>
    <t xml:space="preserve">LANÇAMENTO/APLICAÇÃO/ADENSAMENTO MANUAL DE CONCRETO - (O.C.) </t>
  </si>
  <si>
    <t>BUCHA E ARRUELA METALICA DIAM. 1"</t>
  </si>
  <si>
    <t>PR.</t>
  </si>
  <si>
    <t>CAIXA METALICA OCTOGONAL FUNDO MOVEL,DUPLA 4"</t>
  </si>
  <si>
    <t>CAIXA 75X75X31 MM LINHA X OU EQUIVALENTE</t>
  </si>
  <si>
    <t>CONDULETE PVC E 3/4" S/TAMPA</t>
  </si>
  <si>
    <t>CURVA DE 90 GRAUS DE PVC RIGIDO DIAM. 1"</t>
  </si>
  <si>
    <t>LUVA PVC ROSQUEAVEL DIAMETRO 1"</t>
  </si>
  <si>
    <t>ARRUELA LISA D=1/4"</t>
  </si>
  <si>
    <t>BUCHA DE NYLON S-6</t>
  </si>
  <si>
    <t>PARAFUSO P/BUCHA S-6</t>
  </si>
  <si>
    <t>FIO ISOLADO PVC 750 V, No. 1,5 MM2</t>
  </si>
  <si>
    <t>CAIXA DE PASSAGEM METALICA 15X15X12 CM</t>
  </si>
  <si>
    <t>CAIXA DE PASSAGEM METALICA 40X40X15 CM</t>
  </si>
  <si>
    <t>INTERRUPTOR PARALELO SIMPLES (1 SECAO)</t>
  </si>
  <si>
    <t>6.21</t>
  </si>
  <si>
    <t>6.22</t>
  </si>
  <si>
    <t>TAMPA CEGA CONDULETE PVC 1/2" OU 3/4"</t>
  </si>
  <si>
    <t>TAMPA CONDULETE PVC P/1 INTERRUPTOR DE 1 SECAO</t>
  </si>
  <si>
    <t>6.24</t>
  </si>
  <si>
    <t>TAMPA CONDULETE PVC P/2 INTERRUP.1 SECAO JUNTOS</t>
  </si>
  <si>
    <t>TAMPA CONDULETE PVC P/2 INTER.1 SECAO SEPARADOS</t>
  </si>
  <si>
    <t>6.26</t>
  </si>
  <si>
    <t>6.27</t>
  </si>
  <si>
    <t>6.28</t>
  </si>
  <si>
    <t>6.29</t>
  </si>
  <si>
    <t>INTERRUPTOR SIMPLES 1 SEÇÃO E 1 TOMADA HEXAGONAL 2P + T - 10A CONJUGADOS</t>
  </si>
  <si>
    <t>6.30</t>
  </si>
  <si>
    <t>6.31</t>
  </si>
  <si>
    <t>6.32</t>
  </si>
  <si>
    <t>6.33</t>
  </si>
  <si>
    <t>TOMADA HEXAGONAL DUPLA 2P + T - 10A - 250V</t>
  </si>
  <si>
    <t>6.34</t>
  </si>
  <si>
    <t>6.35</t>
  </si>
  <si>
    <t>INTERRUPTOR 1 SECAO LINHA X</t>
  </si>
  <si>
    <t>6.36</t>
  </si>
  <si>
    <t>INTERRUPTOR 2 SECOES LINHA X</t>
  </si>
  <si>
    <t>6.37</t>
  </si>
  <si>
    <t>6.38</t>
  </si>
  <si>
    <t>6.39</t>
  </si>
  <si>
    <t>6.40</t>
  </si>
  <si>
    <t>6.41</t>
  </si>
  <si>
    <t>6.42</t>
  </si>
  <si>
    <t>6.43</t>
  </si>
  <si>
    <t>DISJUNTOR TRIPOLAR DE 60 A 100-A</t>
  </si>
  <si>
    <t>6.44</t>
  </si>
  <si>
    <t>DISPOSITIVO DE PROTEÇÃO CONTRA SURTOS (D.P.S.) 275V DE 8 A 40KA</t>
  </si>
  <si>
    <t>6.45</t>
  </si>
  <si>
    <t>INTERRUPTOR DIFERENCIAL RESIDUAL (D.R.) BIPOLAR DE 25A-30mA</t>
  </si>
  <si>
    <t>6.46</t>
  </si>
  <si>
    <t xml:space="preserve">ELETRODUTO PVC FLEXÍVEL - MANGUEIRA CORRUGADA - DIAM. 1" </t>
  </si>
  <si>
    <t>6.47</t>
  </si>
  <si>
    <t>6.48</t>
  </si>
  <si>
    <t>ELETRODUTO DE PVC RIGIDO DIAMETRO 3/4"</t>
  </si>
  <si>
    <t xml:space="preserve">M </t>
  </si>
  <si>
    <t>6.49</t>
  </si>
  <si>
    <t>ELETRODUTO PVC FLEXÍVEL - MANGUEIRA CORRUGADA - DIAM. 1 1/2"</t>
  </si>
  <si>
    <t>6.50</t>
  </si>
  <si>
    <t>6.51</t>
  </si>
  <si>
    <t>6.52</t>
  </si>
  <si>
    <t>6.53</t>
  </si>
  <si>
    <t>6.54</t>
  </si>
  <si>
    <t>6.55</t>
  </si>
  <si>
    <t>6.56</t>
  </si>
  <si>
    <t>CALHA FLUORESCENTE DE EMBUTIR 2 X 16 OU 2 X 20 W</t>
  </si>
  <si>
    <t>6.57</t>
  </si>
  <si>
    <t>CALHA FLUORESCENTE DE EMBUTIR 2 X 32 OU 2 X 40 W</t>
  </si>
  <si>
    <t>6.58</t>
  </si>
  <si>
    <t>LUMINARIA CIRCULAR COM VIDRO P/QUADRA 400 W, P/BASE E-40</t>
  </si>
  <si>
    <t>6.59</t>
  </si>
  <si>
    <t>PROJETOR CIRCULAR COM VIDRO (ATE 400 W) BASE E-40</t>
  </si>
  <si>
    <t>6.60</t>
  </si>
  <si>
    <t>REATOR AFP V.METALICO 400 W</t>
  </si>
  <si>
    <t>6.61</t>
  </si>
  <si>
    <t>REATOR ELETRONICO AFP 2 X 20 W</t>
  </si>
  <si>
    <t>6.62</t>
  </si>
  <si>
    <t>REATOR ELETRONICO AFP 2 X 40 W</t>
  </si>
  <si>
    <t>6.63</t>
  </si>
  <si>
    <t>LUMINARIA DE EMBUTIR P/LÂMPADA COMPACTA ELETRÔNICA 1X26W C/SOQ.</t>
  </si>
  <si>
    <t>6.64</t>
  </si>
  <si>
    <t>SOQUETE ANTIVIBRATORIO P/LAMP.FLUORESCENTE</t>
  </si>
  <si>
    <t>6.65</t>
  </si>
  <si>
    <t>SPOT SIMPLES</t>
  </si>
  <si>
    <t>6.66</t>
  </si>
  <si>
    <t>6.67</t>
  </si>
  <si>
    <t>LAMPADA VAPOR METALICO OVOIDE 400 W</t>
  </si>
  <si>
    <t>LAMPADA COMPACTA ELETRÔNICA 11 W</t>
  </si>
  <si>
    <t>LAMPADA COMPACTA ELETRÔNICA 25/26 W</t>
  </si>
  <si>
    <t>LAMPADA COMPACTA ELETRÔNICA 9 W</t>
  </si>
  <si>
    <t>LAMPADA FLUORESCENTE DE 20 W.</t>
  </si>
  <si>
    <t>LAMPADA FLUORESCENTE DE 40 W.</t>
  </si>
  <si>
    <t>ARMACAO SECUNDARIA LEVE 4 ELEMENTOS</t>
  </si>
  <si>
    <t>ALCA PREFORMADA DE DISTRIBUICAO</t>
  </si>
  <si>
    <t>CABECOTE DE LIGA DE ALUMINIO DIAM. 1"</t>
  </si>
  <si>
    <t>CINTA DE ACO GALVANIZADO DIAM.190 MM</t>
  </si>
  <si>
    <t>ISOLADOR ROLDANA PORCELANA 76 X 79</t>
  </si>
  <si>
    <t>POSTE SIMPLES CÔNICO CONTÍNUO, CIRCULAR, RETO, COM DIÂMETRO NOMINAL DE 60MM NA EXTREMIDADE, GALVANIZADO A FOGO, Hútil= 7 M - ENGASTADO EM CONCRETO COM FCK = 13,5 MPA</t>
  </si>
  <si>
    <t>QUADRO DE DISTRIBUICAO CB 12-E -100A</t>
  </si>
  <si>
    <t>TOMADA LOGICA RJ-45 TIPO KEYSTONE JACK, CAT. 6</t>
  </si>
  <si>
    <t>PORTA LISA 70x210 C/PORTAL E ALISAR S/FERRAGENS</t>
  </si>
  <si>
    <t>Grupo de Serviço: 179 - Esquadrias Madeira</t>
  </si>
  <si>
    <t>ESQUADRIAS DE MADEIRA</t>
  </si>
  <si>
    <t>ESQ.DE CORRER CHAPA/VIDRO J9/J10/J12/J13 C/FERRAGENS</t>
  </si>
  <si>
    <t>ESQUADRIA BASCULANTE EM CHAPA J17, J18 e J19 C/FERRAGENS</t>
  </si>
  <si>
    <t>PORTA DE ABRIR ALUMÍNIO NATURAL EM VENEZIANA C/FERRAGENS (M.O.FAB.INC.MAT.)</t>
  </si>
  <si>
    <t>PORTA CORTA FOGO COMPLETA</t>
  </si>
  <si>
    <t>PORTA ABRIR/VIDRO (2) FOLHAS PF-9 C/FERRAGENS</t>
  </si>
  <si>
    <t>ALÇAPÃO FORMATO COIFA EM CHAPA VINCADA Nº. 18 H=(10+2)CM, C/ALÇAS E PORTA CADEADOS (INCLUSIVE CADEADOS Nº. 30)</t>
  </si>
  <si>
    <t xml:space="preserve"> VIDRO LISO 4 MM - COLOCADO</t>
  </si>
  <si>
    <t>1.1</t>
  </si>
  <si>
    <t>5.4</t>
  </si>
  <si>
    <t>BDI (27,30%)</t>
  </si>
  <si>
    <t xml:space="preserve"> DIVISORIA DE GRANITO POLIDO</t>
  </si>
  <si>
    <t xml:space="preserve">Clínica </t>
  </si>
  <si>
    <t>Perímetro</t>
  </si>
  <si>
    <t>Desconto de vãos de portas</t>
  </si>
  <si>
    <t>Desconto de vãos de janelas</t>
  </si>
  <si>
    <t>9,00*(1,20+1,00)+3,00*(0,80*1,80)*3,00*(0,40*0,40)*1,00*(1,20*1,80)+1,00*(1,00*1,00)</t>
  </si>
  <si>
    <t>Canil</t>
  </si>
  <si>
    <t>Gatil</t>
  </si>
  <si>
    <t>13.4</t>
  </si>
  <si>
    <t>13.5</t>
  </si>
  <si>
    <t>13.6</t>
  </si>
  <si>
    <t xml:space="preserve">PORTA LISA 80x210 C/PORTAL E ALISAR S/FERRAGENS </t>
  </si>
  <si>
    <t xml:space="preserve">PORTA LISA 90X210 COM PORTAL E ALISAR SEM FERRAGENS </t>
  </si>
  <si>
    <t xml:space="preserve"> FOLHA DE PORTA LISA 60/70/80X210 </t>
  </si>
  <si>
    <t xml:space="preserve"> FOLHA DE PORTA LISA 90 X 210 </t>
  </si>
  <si>
    <t>3,00*0,40*0,40</t>
  </si>
  <si>
    <t>1,00*1,30*2,10</t>
  </si>
  <si>
    <t>1,00*0,40*0,80</t>
  </si>
  <si>
    <t xml:space="preserve">RODAPÉ DE CERÂMICA COM ARGAMASSA COLANTE </t>
  </si>
  <si>
    <t>Clinica</t>
  </si>
  <si>
    <t>10,00*6,21+10,00*2,75</t>
  </si>
  <si>
    <t>10,41+10,41+12,63+23,77+7,79+7,79+13,04+1,5+5,22+12,63+4,97+7,2+4,92+3,23+5,05+7,62+2,25+4,25+9,4+3,75+5,05+7,95+3,68</t>
  </si>
  <si>
    <t>13,28+13,28+14,36+42,02+12+12+14,5+5+10,16+14,36+8,92+11,48+10,6+7,78+6,75+9,1+13,48+6+9,76+10,5+5,72+14,5+8+9,1+11,6+7,9</t>
  </si>
  <si>
    <t>Grupo de Serviço: 185 - Ferragens</t>
  </si>
  <si>
    <t>FERRAGENS</t>
  </si>
  <si>
    <t xml:space="preserve">Clinica </t>
  </si>
  <si>
    <t>DML</t>
  </si>
  <si>
    <t>Comprimento</t>
  </si>
  <si>
    <t>Altura</t>
  </si>
  <si>
    <t>(3,30+4,25+2,31+3,95+2,15+1,5)*2,73-(3,00*(0,80*1,80))+(1,20*1,00)+(1,30*2,10)+(2,00*(0,90*2,10))</t>
  </si>
  <si>
    <t>(3,00*(0,80*1,80))+(1,20*1,00)+(1,30*2,10)+(2,00*(0,90*2,10))</t>
  </si>
  <si>
    <t>(3,30+4,25+2,31+3,95+2,15+1,50)</t>
  </si>
  <si>
    <t>Recepção</t>
  </si>
  <si>
    <t>Desconto de vãos de portas e janelas</t>
  </si>
  <si>
    <t>WC femenino</t>
  </si>
  <si>
    <t>(2,00*4,10)+(2,00*1,90)</t>
  </si>
  <si>
    <t>(0,90*2,10)+(0,40*0,40)</t>
  </si>
  <si>
    <t>(2,00*4,10)+(2,00*1,90)*2,73-((0,90*2,10)+(0,40*0,40))</t>
  </si>
  <si>
    <t>WC masculino</t>
  </si>
  <si>
    <t>(2,00*2,54)+(4,10*2,00)</t>
  </si>
  <si>
    <t>(1,20*1,00)+(0,90*2,10)</t>
  </si>
  <si>
    <t>((2,00*2,54)+(4,10*2,00))*2,73-((1,20*10)+(0,90*2,10))</t>
  </si>
  <si>
    <t>Consultório1</t>
  </si>
  <si>
    <t>Consultório 2</t>
  </si>
  <si>
    <t>39,91+1,20+1,35</t>
  </si>
  <si>
    <t>(7,00*0,90*2,10)+(1,10*2,10)+(4,00*0,80*2,10)+(1,20*1,80)+(1,20*1,00)+(1,20*2,10)</t>
  </si>
  <si>
    <t>(39,91+1,2+1,35)*2,73-((7*0,9*2,1)+(1,1*2,1)+(4*0,8*2,1)+(1,2*1,8)+(1,2*1)+(1,2*2,1))</t>
  </si>
  <si>
    <t>Circ.</t>
  </si>
  <si>
    <t>Estoque medicamentos</t>
  </si>
  <si>
    <t>(2,00*4,10)+(2,00*1,20)</t>
  </si>
  <si>
    <t>(1,00*1,00)+(0,80*2,10)</t>
  </si>
  <si>
    <t>((2,00*4,10)+(2,00*1,20))*2,73-((1,00*1,00)+(0,80*2,10))</t>
  </si>
  <si>
    <t>Enfermaria contagiosa</t>
  </si>
  <si>
    <t>(2,00*4,10)+(2,00*3,08)</t>
  </si>
  <si>
    <t>(0,90*2,10)+(1,20*1,00)</t>
  </si>
  <si>
    <t>((2,00*4,10)+(2,00*3,08))*2,73-(0,90*2,10)+(1,20*1,00)</t>
  </si>
  <si>
    <t>Enfermaria não contagiosa</t>
  </si>
  <si>
    <t>Área de serviço</t>
  </si>
  <si>
    <t>Sala de expurgo</t>
  </si>
  <si>
    <t>Sala de esterilização</t>
  </si>
  <si>
    <t>Jardim de inverno</t>
  </si>
  <si>
    <t>(4,00*1,50)*2,73-(0,80*2,10)</t>
  </si>
  <si>
    <t>(4,00*1,50)</t>
  </si>
  <si>
    <t>0,80*2,10</t>
  </si>
  <si>
    <t>(4,25+1,00)*2,73-(0,80*2,100</t>
  </si>
  <si>
    <t>(4,25+1,00)</t>
  </si>
  <si>
    <t>(2,05+2,05+2,65+1,90)</t>
  </si>
  <si>
    <t>(0,90*2,10)</t>
  </si>
  <si>
    <t>0,50*0,50</t>
  </si>
  <si>
    <t>(2,05+2,05+2,65+1,90)*2,73-(0,50*0,50)</t>
  </si>
  <si>
    <t>(2,05+2,05+2,65+1,90)*2,73-(0,90*2,10)</t>
  </si>
  <si>
    <t>(3,08*2,00)+(1,3*2,00)</t>
  </si>
  <si>
    <t>(2,00*1,20*1,00)+(1,20*1,80)</t>
  </si>
  <si>
    <t>((3,08*2,00)+(1,3*2,00))*2,73-((2,00*1,20*1,00)+(1,20*1,80))</t>
  </si>
  <si>
    <t>(3,00*2,00)+(2,54*2,00)</t>
  </si>
  <si>
    <t>(1,20*1,00)+(0,80*2,10)</t>
  </si>
  <si>
    <t>((3,00*2,00)+(2,54*2,00))*2,73-((1,20*1,00)+(0,80*2,10))</t>
  </si>
  <si>
    <t>Copa/Cozinha</t>
  </si>
  <si>
    <t>(2,73-1,60)</t>
  </si>
  <si>
    <t>(1,20*1,00)</t>
  </si>
  <si>
    <t>7,08*(2,73-1,6)-(1,2*1)</t>
  </si>
  <si>
    <t>(2,00*2,50)+(2,00*1,50)</t>
  </si>
  <si>
    <t>((2,00*2,50)+(2,00*1,50))*2,73-(0,90*2,10)</t>
  </si>
  <si>
    <t>DML Cirurgico</t>
  </si>
  <si>
    <t>(2,00*1,50)+(2,00*1,00)</t>
  </si>
  <si>
    <t>(0,70*2,10)</t>
  </si>
  <si>
    <t>((2,00*1,50)+(2,00*1,00))*2,73-(0,70*2,10)</t>
  </si>
  <si>
    <t>Centro cirurgico</t>
  </si>
  <si>
    <t>(2,00*2,50+2,00*3,80)</t>
  </si>
  <si>
    <t>(2,00*0,90*2,10)</t>
  </si>
  <si>
    <t>(2,00*2,50+2,00*3,80)*2,73-(2,00*0,90*2,10)</t>
  </si>
  <si>
    <t>(2,00*3,15)+(2,00*2,50)</t>
  </si>
  <si>
    <t>(0,90*2,10)+(0,90*2,10)+(0,50*0,50)</t>
  </si>
  <si>
    <t>((2,00*3,15)+(2,00*2,50))*2,73-((0,90*2,10)+(0,90*2,10)+(0,50*0,50))</t>
  </si>
  <si>
    <t>Pré e pós operatório</t>
  </si>
  <si>
    <t xml:space="preserve">Sala de suporte tecnico </t>
  </si>
  <si>
    <t>(2,00)+(4,00*0,90)</t>
  </si>
  <si>
    <t>((2,00)+(4,00*0,90))*2,73</t>
  </si>
  <si>
    <t>Parede externa</t>
  </si>
  <si>
    <t>(2,00*0,80*1,80)+(3,00*0,40*0,40)+(7,00*1,20*1,00)+(1,00*1,00)+(0,90*2,10)+(2,00*0,80*2,10)+(1,20*2,10)+(1,30*2,10)</t>
  </si>
  <si>
    <t>(68,07*2,90)-((2,00*0,80*1,80)+(3,00*0,40*0,40)+(7,00*1,20*1,00)+(1,00*1,00)+(0,90*2,10)+(2,00*0,80*2,10)+(1,20*2,10)+(1,30*2,10))</t>
  </si>
  <si>
    <t>Depósito de resíduos solidos</t>
  </si>
  <si>
    <t>(4,00*2,10)+(4,00*0,80)+(2,00*1,10)</t>
  </si>
  <si>
    <t>((4,00*2,10)+(4,00*0,80)+(2,00*1,10))*2,73-(0,86*2,10*2,00+0,87*2,10*2,00)</t>
  </si>
  <si>
    <t>2,00*(0,80*1,90)+2*(0,90*2,10)</t>
  </si>
  <si>
    <t>(1,90+1,90+0,90+0,90)*2,10</t>
  </si>
  <si>
    <t>Lavanderia interna</t>
  </si>
  <si>
    <t xml:space="preserve">Vestiário funcionarios </t>
  </si>
  <si>
    <t>Lavanderia externa</t>
  </si>
  <si>
    <t>(1,85+2,54+2,69)</t>
  </si>
  <si>
    <t>(1,85+2,54+2,69)*1,60-(1,20*1,00)</t>
  </si>
  <si>
    <t>(2,00*1,50+2,00*2,45)</t>
  </si>
  <si>
    <t>(2,00*1,50+2,00*2,45)*2,73-(1,20*2,10)+(0,80*2,10)</t>
  </si>
  <si>
    <t>1,80*1,60</t>
  </si>
  <si>
    <t>(2,00*3,80+2,00*1,43)</t>
  </si>
  <si>
    <t>(0,40*0,40+0,80*2,10)</t>
  </si>
  <si>
    <t>(2,00*3,80+2,00*1,43)*2,73-(0,40*0,40+0,80*2,10)</t>
  </si>
  <si>
    <t>Sala de assepsia</t>
  </si>
  <si>
    <t>Coordenação/ Apoio ADM</t>
  </si>
  <si>
    <t>(1,2*1)+(0,8*2,1)</t>
  </si>
  <si>
    <t>(7,08*2,73)-(1,2*1)</t>
  </si>
  <si>
    <t>0,70*2,10*4,00</t>
  </si>
  <si>
    <t>18.4</t>
  </si>
  <si>
    <t>18.5</t>
  </si>
  <si>
    <t>18.6</t>
  </si>
  <si>
    <t>18.7</t>
  </si>
  <si>
    <t xml:space="preserve">CANTONEIRA GRANDE P/DIVISORIAS </t>
  </si>
  <si>
    <t xml:space="preserve">BARRA PARA PORTADOR DE NECESSIDADES ESPECIAIS - P.N.E. "B6" PADRÃO AGETOP </t>
  </si>
  <si>
    <t>FECH.(ALAV.) LAFONTE 6236 I /8766- I18 IMAB OU EQUIV.</t>
  </si>
  <si>
    <t xml:space="preserve">FECH.(ALAV.) LAFONTE 6236 E/8766- E17 IMAB OU EQUIV. </t>
  </si>
  <si>
    <t xml:space="preserve">FECH. TIPO BICO DE PAPAGAIO (1222 LAFONTE/1161 E - 30 IMAB) OU EQUIV. </t>
  </si>
  <si>
    <t xml:space="preserve"> FECHO FIO REDONDO 4" ZINCADO PARAFUSADO </t>
  </si>
  <si>
    <t xml:space="preserve">DOBRADICA 3" x 3 1/2" FERRO POLIDO </t>
  </si>
  <si>
    <t>Wc feminino</t>
  </si>
  <si>
    <t>Consultório 1</t>
  </si>
  <si>
    <t>Lavanderia</t>
  </si>
  <si>
    <t>0,54+0,75</t>
  </si>
  <si>
    <t>(1,80+1,80+1,20)*10,00*2,70+3,425*11*1,50</t>
  </si>
  <si>
    <t>(7,075+2,625+0,15+,015+2,75+1,50)*2,80</t>
  </si>
  <si>
    <t>Clínica</t>
  </si>
  <si>
    <t>Área</t>
  </si>
  <si>
    <t>2,852*19,65+2,70*10,00*1,80+1,20*2,00*2,50*10,00+(2,852+2,50)*1,65+((2,70+2,50)*1,65*9,00/2)+0,15*2,50*10,00+3,425*1,60*11+0,15*9,00*2,50</t>
  </si>
  <si>
    <t>2,925*2,82+2,625*2,80+7,075*2,80*2,00+2,90*2,80*2,40+1,50*2,40*2,00</t>
  </si>
  <si>
    <t>5,70+10,40</t>
  </si>
  <si>
    <t>CALHA DE CHAPA GALVANIZADA (20 x20 x30)</t>
  </si>
  <si>
    <t>(18,18+6,08+2,55+8,23)*0,3+(18,18+6,08+2,55+8,23)*0,2+(18,18+6,08+2,55+8,23)*0,2</t>
  </si>
  <si>
    <t>(2,75+0,39+2,54+5,29+5,29+2,39+2,10+4,44+0,70+0,39+4,30+7,34+7,34+2,08)*0,19</t>
  </si>
  <si>
    <t xml:space="preserve">COB.C/TELHA FIBER-GLASS C/VÉU PROTEÇÃO/ACESSÓRIOS-1MM </t>
  </si>
  <si>
    <t>12.6</t>
  </si>
  <si>
    <t>(49*0,98)+(7*0,29)</t>
  </si>
  <si>
    <t xml:space="preserve">RUFO DE CHAPA GALVANIZADA </t>
  </si>
  <si>
    <t>(3,00+6,41+11,16+18,51+15,25+8,57+2,34+2,55+4,59)</t>
  </si>
  <si>
    <t>(3,23+1,78+3,23)</t>
  </si>
  <si>
    <t>(1,92+1,92+1,78+1,78)</t>
  </si>
  <si>
    <t>11.1</t>
  </si>
  <si>
    <t>Garagem</t>
  </si>
  <si>
    <t>ALVENARIA DE TIJOLO FURADO 1/2 VEZ 14X29X9 - 6 FUROS - ARG. (1CALH:4ARML+100KG DE CI/M3)</t>
  </si>
  <si>
    <t xml:space="preserve">MÃO FRANCESA SIMPLES LARGURA DE 50 MM </t>
  </si>
  <si>
    <t>6.68</t>
  </si>
  <si>
    <t xml:space="preserve">Platibanda </t>
  </si>
  <si>
    <t>17.4</t>
  </si>
  <si>
    <t xml:space="preserve">M2 </t>
  </si>
  <si>
    <t>EST.MAD.TELHA FIBROCIM. COM APOIOS EM LAJES/VIGAS OU PAREDES(SOMENTE TERÇAS ) C/FERRAGENS</t>
  </si>
  <si>
    <t>(0,15+18,20+0,15+15,27+0,15+8,25+0,15+2,19+0,15+2,40+0,15+4,60+1,00+2,84+0,15+6,10+0,15+11,17)*1,00+(0,15+1,80+0,15+3,08+3,08)*1,60+(1,80+0,15+0,15+1,60+0,15+1,80+0,15+1,60)*2,60</t>
  </si>
  <si>
    <t>1,00*(1,20*2,10)+1,00*(0,70*2,10)+6,00*(0,80*2,10)+7,00*(0,90*2,10)+1,00*(1,10*2,10)+2,00*(0,90*2,10)+1,00*(0,40*0,80)+1,00*(1,30*2,10+2,00*(0,90*2,10)</t>
  </si>
  <si>
    <t>(0,15+18,20+0,15+15,27+0,15+8,25+0,15+2,19+0,15+2,40+0,15+4,60+1,00+2,84+0,15+6,10+0,15+11,17)*1,00*2,00+(0,15+1,80+0,15+3,08+3,08)*1,60*2,00+(1,80+0,15+0,15+1,60+0,15+1,80+0,15+1,60)*2,60*2,00</t>
  </si>
  <si>
    <t>Sala de esterelização</t>
  </si>
  <si>
    <t>Vestiário funcionários</t>
  </si>
  <si>
    <t xml:space="preserve">Pré e pós operatório </t>
  </si>
  <si>
    <t>PAVIMENTO INTERTRAVADO ESPESSURA DE 6CM E FCK = 35 MPA</t>
  </si>
  <si>
    <t>7.53</t>
  </si>
  <si>
    <t>1,72+6,00*1,20*0,30+3,14*1,50*1,50/4,00+1,60*0,10*2,00</t>
  </si>
  <si>
    <t xml:space="preserve">Grupo de Serviço: 174 - Impermeabilização </t>
  </si>
  <si>
    <t>9.</t>
  </si>
  <si>
    <t>IMPERMEABILIZACAO</t>
  </si>
  <si>
    <t xml:space="preserve">IMPERMEABILIZAÇÃO-REBAIXO BANHEIRO COM 4 DEMÃOS DE EMULSÃO ASFÁLTICA </t>
  </si>
  <si>
    <t>WC Masculino</t>
  </si>
  <si>
    <t xml:space="preserve">Piso </t>
  </si>
  <si>
    <t>Parede</t>
  </si>
  <si>
    <t>WC Feminino</t>
  </si>
  <si>
    <t>Centro cirúrgico</t>
  </si>
  <si>
    <t>Sala de esterealização</t>
  </si>
  <si>
    <t>0,20*(4,10+1,90+4,10+1,00)</t>
  </si>
  <si>
    <t>0,20*(4,10+3,08+4,10+2,18)</t>
  </si>
  <si>
    <t>0,20*(1,85+2,54)+1,00*2,54</t>
  </si>
  <si>
    <t>0,20*(3,80+2,50+2,65+1,50)</t>
  </si>
  <si>
    <t>0,20*(2,01*2,50*4,10)</t>
  </si>
  <si>
    <t>0,20*(2,01+1,45)</t>
  </si>
  <si>
    <t>0,20*(2,94+2,94+0,63)+1,00*(0,70+0,70+1,43)</t>
  </si>
  <si>
    <t>0,20*(1,50+2,45+1,50)+1,00*1,50</t>
  </si>
  <si>
    <t>0,20*2,00</t>
  </si>
  <si>
    <t>0,20*(3,08+1,80+3,08+1,80)</t>
  </si>
  <si>
    <t>17.5</t>
  </si>
  <si>
    <t>RUA BELÉM, S/N, BAIRRO: VILA DONA ERONDINA</t>
  </si>
  <si>
    <t>PORTAO DE FERRO REDONDO PT-6 C/ FERRANGES</t>
  </si>
  <si>
    <t>ALAMBRADO COM POSTE DE CONCRETO E CINTA ARMADA PD. AGETOP</t>
  </si>
  <si>
    <t>GRADE DE FRENTE/TUBO DE AÇO COM ESTACA D=25CM ARMADA - GF-2</t>
  </si>
  <si>
    <t>13.7</t>
  </si>
  <si>
    <t>13.8</t>
  </si>
  <si>
    <t>3,5*2,6</t>
  </si>
  <si>
    <t>(2,00*1,44)+(2,00*1,89)+(2,00*0,70*2,10)</t>
  </si>
  <si>
    <t>(9,00*1,20*1,00)+(1,00*1,00*1,00)</t>
  </si>
  <si>
    <t>ÁREA: 312,26 m²</t>
  </si>
  <si>
    <t>256,45+35,36+20,45</t>
  </si>
  <si>
    <t>40*30</t>
  </si>
  <si>
    <t>8*2,5</t>
  </si>
  <si>
    <t>1,5*2</t>
  </si>
  <si>
    <t>TRANSPORTE DE ENTULHO EM CAÇAMBA ESTACIONÁRIA INCLUSO A CARGA MANUAL</t>
  </si>
  <si>
    <t>5*3</t>
  </si>
  <si>
    <t>REGULARIZAÇÃO DO TERRENO SEM APILOAMENTO COM TRANSPORTE MANUAL DA TERRA ESCAVADA</t>
  </si>
  <si>
    <t>4.9</t>
  </si>
  <si>
    <t>ESCAVACAO MANUAL DE VALAS (SAPATAS/BLOCOS)</t>
  </si>
  <si>
    <t>APILOAMENTO (BLOCOS/SAPATAS)</t>
  </si>
  <si>
    <t>FORMA TABUA PINHO P/FUNDACOES U=3V - (OBRAS CIVIS)</t>
  </si>
  <si>
    <t>4.10</t>
  </si>
  <si>
    <t>4.11</t>
  </si>
  <si>
    <t>0,2*0,3*147,68</t>
  </si>
  <si>
    <t>35*(0,5*0,5*0,5) + 1*(2,1*0,5*0,95)</t>
  </si>
  <si>
    <t>(35*0,5*0,5)+(147,68*0,1)</t>
  </si>
  <si>
    <t>ESTACA A TRADO DIAM.30 CM SEM FERRO</t>
  </si>
  <si>
    <t>Blocos Gatil + Arranque dos Pilares</t>
  </si>
  <si>
    <t>Blocos Clínica + Arranque dos Pilares</t>
  </si>
  <si>
    <t>Blocos Canil + Arranque dos Pilares</t>
  </si>
  <si>
    <t>111,3+25</t>
  </si>
  <si>
    <t>31,9+4,4</t>
  </si>
  <si>
    <t>15,9+2,2</t>
  </si>
  <si>
    <t>136,3+36,3+18,1</t>
  </si>
  <si>
    <t>4.6.1</t>
  </si>
  <si>
    <t>4.6.3</t>
  </si>
  <si>
    <t>4.6.2</t>
  </si>
  <si>
    <t>4.9.1</t>
  </si>
  <si>
    <t>4.9.2</t>
  </si>
  <si>
    <t>4.9.3</t>
  </si>
  <si>
    <t>120,6+115</t>
  </si>
  <si>
    <t>30,4+27,1</t>
  </si>
  <si>
    <t>14,7+14,7</t>
  </si>
  <si>
    <t>235,6+57,5+29,40</t>
  </si>
  <si>
    <t>4.10.1</t>
  </si>
  <si>
    <t>4.10.2</t>
  </si>
  <si>
    <t>4.10.3</t>
  </si>
  <si>
    <t>4.11.1</t>
  </si>
  <si>
    <t>4.11.2</t>
  </si>
  <si>
    <t>4.11.3</t>
  </si>
  <si>
    <t>(35*0,5*0,5*4)+(2*2,1*0,95)+(2*0,5*0,95)</t>
  </si>
  <si>
    <t>4.1.1</t>
  </si>
  <si>
    <t>4.1.2</t>
  </si>
  <si>
    <t>4.1.3</t>
  </si>
  <si>
    <t>38*3</t>
  </si>
  <si>
    <t>12*2,5</t>
  </si>
  <si>
    <t>6*2,5</t>
  </si>
  <si>
    <t>114+30+15</t>
  </si>
  <si>
    <t>14,29+3,82+1,91</t>
  </si>
  <si>
    <t>VERGA/CONTRAVERGA EM CONCRETO ARMADO FCK = 20 MPA</t>
  </si>
  <si>
    <t>FORMA DE TABUA CINTA BALDRAME U=8 VEZES</t>
  </si>
  <si>
    <t>FORRO EM LAJE PRE-MOLDADA INC.CAPEAMENTO/FERR.DISTRIB./ESCORAMENTO E FORMA/DESFORMA</t>
  </si>
  <si>
    <t>5.9</t>
  </si>
  <si>
    <t>5.10</t>
  </si>
  <si>
    <t>5.12</t>
  </si>
  <si>
    <t>Vergas (Portas e Janelas)</t>
  </si>
  <si>
    <t>Contravergas (Janelas)</t>
  </si>
  <si>
    <t>5.1.1</t>
  </si>
  <si>
    <t>5.1.2</t>
  </si>
  <si>
    <t>0,15*0,2*((1,20+0,10+0,10)+0,7+6*(0,8+0,1+0,1)+7*(0,9+0,1+0,)+1,10+2*(0,9+0,1+0,1)+1,3+9*(1,20+0,3+0,3)+3*(0,8+0,3+0,3)+(1,2*0,3+0,3)+(1+0,1+0,1))</t>
  </si>
  <si>
    <t>0,2*0,15*((9*(1,20+0,3+0,3)+3*(0,8+0,3+0,3)+(1,2*0,3+0,3)+(1+0,1+0,1))</t>
  </si>
  <si>
    <t>1,26+0,67</t>
  </si>
  <si>
    <t>5.3.1</t>
  </si>
  <si>
    <t>5.3.2</t>
  </si>
  <si>
    <t>FORMA CH.COMPENSADA 12MM-VIGA/PILAR U=4V - (OBRAS CIVIS)</t>
  </si>
  <si>
    <t>Pilares Clínica</t>
  </si>
  <si>
    <t>Pilares Canil</t>
  </si>
  <si>
    <t>Pilares Gatil</t>
  </si>
  <si>
    <t>5.3.3</t>
  </si>
  <si>
    <t>5.3.4</t>
  </si>
  <si>
    <t>30*(3,20*0,174+3,20*0,324)+4*(3,20*0,144+3,20*0,324)+5*(3,20*0,24+3,20*0,424)+2*(3,20*0,24)</t>
  </si>
  <si>
    <t>10*(2,5*0,144+2,5*0,324)+2*(1,8*0,24+1,8*0,24)</t>
  </si>
  <si>
    <t>5*(2,5*0,144+2,5*0,324)+(2,5*0,24+2,5*0,24)</t>
  </si>
  <si>
    <t>Pilares Clínica + Canil + Gatil</t>
  </si>
  <si>
    <t>Vigas Baldrames Clínica  + Canil + Gatil</t>
  </si>
  <si>
    <t>153,1+30,4+15,2</t>
  </si>
  <si>
    <t>5.4.1</t>
  </si>
  <si>
    <t>5.4.2</t>
  </si>
  <si>
    <t>5.4.3</t>
  </si>
  <si>
    <t>5.5.1</t>
  </si>
  <si>
    <t>5.6.1</t>
  </si>
  <si>
    <t>5.6.2</t>
  </si>
  <si>
    <t xml:space="preserve">Vigas Baldrames Clínica </t>
  </si>
  <si>
    <t>374,2+81,4+40,2</t>
  </si>
  <si>
    <t>19,8+79,6</t>
  </si>
  <si>
    <t>495,80+99,40</t>
  </si>
  <si>
    <t>Vigas Clínica</t>
  </si>
  <si>
    <t>5,9+1,1+0,55</t>
  </si>
  <si>
    <t>(104,9+46,9)+45+18,3</t>
  </si>
  <si>
    <t>Vigas Aéreas Clínica + Canil + Gatil</t>
  </si>
  <si>
    <t>Vigas Aéreas Clínica  + Canil + Gatil</t>
  </si>
  <si>
    <t>(103,5+51,1)+48,4+14,7</t>
  </si>
  <si>
    <t>(173,4+75,7)+76,3+33</t>
  </si>
  <si>
    <t>0,2+0,6+1,4</t>
  </si>
  <si>
    <t>(231,7+128,5)+71,2+40,4</t>
  </si>
  <si>
    <t>0,2+1,1+0,8</t>
  </si>
  <si>
    <t>198,70+217,70+215,10</t>
  </si>
  <si>
    <t>2,20+2,10</t>
  </si>
  <si>
    <t>5.5.2</t>
  </si>
  <si>
    <t>358,40+471,80</t>
  </si>
  <si>
    <t>(4,08+2,35)+1,54+0,58</t>
  </si>
  <si>
    <t>(4,79+2,89)+1,44+0,68</t>
  </si>
  <si>
    <t>7,55+8,55+9,80</t>
  </si>
  <si>
    <t>5.7.1</t>
  </si>
  <si>
    <t>5.7.2</t>
  </si>
  <si>
    <t>5.8.1</t>
  </si>
  <si>
    <t>5.8.2</t>
  </si>
  <si>
    <t>5.8.3</t>
  </si>
  <si>
    <t>5.9.1</t>
  </si>
  <si>
    <t>5.9.2</t>
  </si>
  <si>
    <t>5.9.3</t>
  </si>
  <si>
    <t>Vigas Canil</t>
  </si>
  <si>
    <t>Vigas Gatil</t>
  </si>
  <si>
    <t>2*0,324*(16,75+10+14,15+7,85+1,85+5,3+11,5+11,35+9,5+5,75+5,75+5,75+3,6+2,6+2,6+2,6+5,15+4,2+1,5+14,15+(6*4,05)+0,144*((16,75+10+14,15+7,85+1,85+5,3+11,5+11,35+9,5+5,75+5,75+5,75+3,6+2,6+2,6+2,6+5,15+4,2+1,5+14,15+(6*4,05))</t>
  </si>
  <si>
    <t>2*0,324*(9,74+9,74+9,83+9,91+5*1,77)+0,144*((+9,74+9,74+9,83+9,91+5*1,77)</t>
  </si>
  <si>
    <t>2*0,324*(2,84+2,84+7+2,84+7)+0,144*((2,84+2,84+7+2,84+7)</t>
  </si>
  <si>
    <t>123,21+38,07+17,84+65,96+13,43+7,05</t>
  </si>
  <si>
    <t>(2*0,3*147,68)+(2*0,3*48,07)+(2*0,3*22,57)</t>
  </si>
  <si>
    <t>FORRO EM LAJE PRE-MOLDADA INC.CAPEAMENTO/FERR.DISTRIB./ ESCORAMENTO E FORMA/DESFORMA</t>
  </si>
  <si>
    <t>Piso</t>
  </si>
  <si>
    <t>Teto</t>
  </si>
  <si>
    <t>ELETRODUTO PVC FLEXÍVEL - MANGUEIRA CORRUGADA - DIAM. 3"</t>
  </si>
  <si>
    <t>23,70+30,40</t>
  </si>
  <si>
    <t>3,18+2,8+2,74+2,71+2,55+1,63+0,25+1,66+1,70+1,67+1,72+1,70+2,88+1,22+1,51</t>
  </si>
  <si>
    <t>4,85+5,95+15,30</t>
  </si>
  <si>
    <t>29,92+26,10+367,05</t>
  </si>
  <si>
    <t>25,28+12,63</t>
  </si>
  <si>
    <t>(6*6,64)+6,19</t>
  </si>
  <si>
    <t>4,56+15,29+5,42</t>
  </si>
  <si>
    <t>10,30+2,39+2,07+2,30+1,86+10,78+4,91+2,38+2,40+21,56+10,80+(9*2,36)+5,82</t>
  </si>
  <si>
    <t>12,70+98,81</t>
  </si>
  <si>
    <t>6.36.1</t>
  </si>
  <si>
    <t>6.36.2</t>
  </si>
  <si>
    <t>6.37.1</t>
  </si>
  <si>
    <t>6.37.2</t>
  </si>
  <si>
    <t>6.37.3</t>
  </si>
  <si>
    <t>6.39.1</t>
  </si>
  <si>
    <t>6.39.2</t>
  </si>
  <si>
    <t>10.1.2</t>
  </si>
  <si>
    <t>10.1.3</t>
  </si>
  <si>
    <t>9.1.1</t>
  </si>
  <si>
    <t>9.1.6</t>
  </si>
  <si>
    <t>9.1.2</t>
  </si>
  <si>
    <t>9.1.5</t>
  </si>
  <si>
    <t>9.1.3</t>
  </si>
  <si>
    <t>TAMPA CEGA PLÁSTICA 4"X2" COM FURO CENTRAL (PARA TV/SOM...)</t>
  </si>
  <si>
    <t>TOMADA TELEFONICA LINHA X OU EQUIVALENTE</t>
  </si>
  <si>
    <t>TOMADA HEXAGONAL 2P + T - 20A - 250V</t>
  </si>
  <si>
    <t>QUADRO DE DISTRIBUICAO CB-20-E - 100A</t>
  </si>
  <si>
    <t>PORTA PAPEL HIGIENICO EM INOX</t>
  </si>
  <si>
    <t>PORTA TOALHA EM INOX (HASTE)</t>
  </si>
  <si>
    <t>7.32</t>
  </si>
  <si>
    <t>7.33</t>
  </si>
  <si>
    <t>7.34</t>
  </si>
  <si>
    <t>7.35</t>
  </si>
  <si>
    <t>7.54</t>
  </si>
  <si>
    <t>7.55</t>
  </si>
  <si>
    <t>7.56</t>
  </si>
  <si>
    <t>7.57</t>
  </si>
  <si>
    <t>7.58</t>
  </si>
  <si>
    <t>7.59</t>
  </si>
  <si>
    <t>7.60</t>
  </si>
  <si>
    <t>7.61</t>
  </si>
  <si>
    <t>7.62</t>
  </si>
  <si>
    <t>7.63</t>
  </si>
  <si>
    <t>7.64</t>
  </si>
  <si>
    <t>7.65</t>
  </si>
  <si>
    <t>7.66</t>
  </si>
  <si>
    <t>7.67</t>
  </si>
  <si>
    <t>7.68</t>
  </si>
  <si>
    <t>7.69</t>
  </si>
  <si>
    <t>7.70</t>
  </si>
  <si>
    <t>7.71</t>
  </si>
  <si>
    <t>7.72</t>
  </si>
  <si>
    <t>7.73</t>
  </si>
  <si>
    <t>7.74</t>
  </si>
  <si>
    <t>TANQUE DE AÇO INOX - CHAPA 0,7MM</t>
  </si>
  <si>
    <t>C O R P O DE C A I X A S I F O N A D A/R A L O</t>
  </si>
  <si>
    <t>CORPO CX. SIFONADA DIAM. 100 X 100 X 50</t>
  </si>
  <si>
    <t>CORPO RALO SIFONADO QUADRADO 100 X 53 X 40</t>
  </si>
  <si>
    <t>CORPO CX. SIFONADA DIAM. 150 X 150 X 50</t>
  </si>
  <si>
    <t>CORPO CX. SIFONADA DIAM. 150 X 185 X 75</t>
  </si>
  <si>
    <t>GRELHA REDONDA CROMADA DIAM.100 MM</t>
  </si>
  <si>
    <t>7.75</t>
  </si>
  <si>
    <t>7.76</t>
  </si>
  <si>
    <t>7.77</t>
  </si>
  <si>
    <t>7.78</t>
  </si>
  <si>
    <t>7.79</t>
  </si>
  <si>
    <t>7.80</t>
  </si>
  <si>
    <t>CAIXA DE AREIA 60X60CM FUNDO DE BRITA COM GRELHA METÁLICA FERRO CHATO PADRÃO AGETOP</t>
  </si>
  <si>
    <t>CAIXA DE GORDURA 50 l. CONCRETO PADRÃO AGETOP IMPERMEABILIZADA</t>
  </si>
  <si>
    <t>FOSSA SEPTICA 3000 LITROS COM IMPERMEABILIZAÇÃO</t>
  </si>
  <si>
    <t>SUMIDOURO COM DIÂMETRO=1,60M E PROFUNDIDADE=4,50 M</t>
  </si>
  <si>
    <t>TERMINAL DE VENTILACAO DIAMETRO 50 MM</t>
  </si>
  <si>
    <t>TORNEIRA BOIA DIAMETRO 1" (25 MM )</t>
  </si>
  <si>
    <t>7.81</t>
  </si>
  <si>
    <t>7.82</t>
  </si>
  <si>
    <t>7.83</t>
  </si>
  <si>
    <t>7.84</t>
  </si>
  <si>
    <t>7.85</t>
  </si>
  <si>
    <t>CURVAS</t>
  </si>
  <si>
    <t>CURVA 45º DIAMETRO 50 MM</t>
  </si>
  <si>
    <t>CURVA 45 GRAUS SOLDAVEL DIAMETRO 75 MM</t>
  </si>
  <si>
    <t>CURVA 45 GRAUS DIAMETRO 100 MM</t>
  </si>
  <si>
    <t>CURVA 45 GRAUS DIAMETRO 40 MM</t>
  </si>
  <si>
    <t>CURVA 90 GRAUS CURTA DIAM. 40 MM</t>
  </si>
  <si>
    <t>CURVA 90 GRAUS CURTA DIAM. 100 MM</t>
  </si>
  <si>
    <t>JOELHO 45 GRAUS DIAMETRO 100 MM</t>
  </si>
  <si>
    <t>JOELHO 90 GRAUS DIAMETRO 50 MM</t>
  </si>
  <si>
    <t>JOELHO 90 GRAUS C/ANEL 40 mm</t>
  </si>
  <si>
    <t>JUNCAO SIMPLES DIAM. 100 X 50 MM</t>
  </si>
  <si>
    <t>JUNCAO SIMPLES DIAM. 100 X 100 MM</t>
  </si>
  <si>
    <t>CURVA 90 GRAUS LONGA DIAM. 75 MM</t>
  </si>
  <si>
    <t>JOELHO 45 GRAUS DIAMETRO 75 MM</t>
  </si>
  <si>
    <t>JUNCAO SIMPLES DIAMETRO 50 X 50 MM</t>
  </si>
  <si>
    <t>JUNCAO SIMPLES DIAMETRO 75 X 75 MM</t>
  </si>
  <si>
    <t>J U N C O E S</t>
  </si>
  <si>
    <t>TE SANITARIO DIAMETRO 50 X 50 MM</t>
  </si>
  <si>
    <t>TE SANITARIO DIAMETRO 75 X 50 MM</t>
  </si>
  <si>
    <t>7.86</t>
  </si>
  <si>
    <t>7.87</t>
  </si>
  <si>
    <t>7.88</t>
  </si>
  <si>
    <t>7.89</t>
  </si>
  <si>
    <t>7.90</t>
  </si>
  <si>
    <t>7.91</t>
  </si>
  <si>
    <t>7.92</t>
  </si>
  <si>
    <t>7.93</t>
  </si>
  <si>
    <t>7.94</t>
  </si>
  <si>
    <t>7.95</t>
  </si>
  <si>
    <t>7.96</t>
  </si>
  <si>
    <t>7.97</t>
  </si>
  <si>
    <t>7.98</t>
  </si>
  <si>
    <t>7.99</t>
  </si>
  <si>
    <t>7.100</t>
  </si>
  <si>
    <t>7.101</t>
  </si>
  <si>
    <t>7.102</t>
  </si>
  <si>
    <t>7.103</t>
  </si>
  <si>
    <t>TUBO SOLD. P/ESGOTO DIAM. 50 MM</t>
  </si>
  <si>
    <t>7.104</t>
  </si>
  <si>
    <t>2,87+1,87+0,0862+2,25+2,25+4,80175+6,42155+0,1724+3,13+2,03+1,45+0,35+0,35+0,45+0,45+0,20+0,20+0,50+0,50+0,30+0,30+0,45+0,45+0,40+19,19985+1,33315+0,63685+0,175+0,1724+0,30+0,63685+0,1412+10,68515+2,4195+0,5402+0,50+0,50+0,50+0,50+0,50+0,50+0,50+0,50+0,50+0,50+0,60+1,20+1,20+0,576+2,341+2,40+0,30+0,40+0,50+2,40+0,70+0,30+0,30+0,60+0,30+0,15+1,10+0,80+1,00+1,43+1,20+2,63+1,20+2,63+0,80+1,43+1,50+0,65+0,30+1,05+0,15+1,75+0,15+0,07</t>
  </si>
  <si>
    <t>1,0025+1,8511+1,84985+1,84875+1,84925+1,8497+1,8507+1,873+1,84985+1,849+1,8914+0,23+0,23+1,20+1,50+0,25+0,20+0,50+0,20+0,70+0,23+0,80+2,50+0,23+1,20+1,50+0,50+0,30+2,33+3,1955+0,4241+1,53345+3,05545+1,2054+1,0631+5,26125+2,3308+4,594485+4,6705+4,70415+1,54385+0,6978+3,18745+2,32375+0,25775+1,87+1,00+0,20+0,75+0,20+0,20+0,30+0,20+0,30+0,20+0,30+0,20+0,30+0,20+0,30+0,30+0,20+0,30+0,20+0,40+1,00+3,13</t>
  </si>
  <si>
    <t>Pergolados</t>
  </si>
  <si>
    <t>(0,40*4,22*2,00+0,20*4,22+0,20*3,82)*5,00+(0,40*2,00*1,94+0,200*1,94+2,34*0,20)*5,00</t>
  </si>
  <si>
    <t>1,93+1,93+0,99+5,14+0,81+0,5+0,25+1,32+0,41+2,47+0,25+0,6+0,58+6,22+0,69+0,26+1,84+1,03+1,66+1,6+0,34+0,26+0,7+0,87+0,6+0,43+4,15+1,5+17,91+10*(0,37)+2,88+2,53+0,85+1,2+0,7+1,22</t>
  </si>
  <si>
    <t>0,7+0,52+0,47+0,28+0,66</t>
  </si>
  <si>
    <t>1,09+16,42+1,19+11,18+7,56+3,21+2*(3,4)+4*(3,2)+11,11+4,1+3,32</t>
  </si>
  <si>
    <t>6,51+4,64+0,95+1,22+11,11+13,54+7,63+4,54+2,12+14,67+4,27+6,2+3,99</t>
  </si>
  <si>
    <t>15.2.2</t>
  </si>
  <si>
    <t>VIGIA DE OBRAS (DIURNO) - (OBRAS CIVIS)</t>
  </si>
  <si>
    <t>7*7*4*7</t>
  </si>
  <si>
    <t>8*2*4*7</t>
  </si>
  <si>
    <t>8*22*7</t>
  </si>
  <si>
    <t>TOTAIS</t>
  </si>
  <si>
    <t>19.1.4</t>
  </si>
  <si>
    <t>19.1.5</t>
  </si>
  <si>
    <t>19.1.6</t>
  </si>
  <si>
    <t>19.1.7</t>
  </si>
  <si>
    <t>19.1.8</t>
  </si>
  <si>
    <t>19.1.9</t>
  </si>
  <si>
    <t>19.1.11</t>
  </si>
  <si>
    <t>19.1.12</t>
  </si>
  <si>
    <t>19.1.13</t>
  </si>
  <si>
    <t>19.1.14</t>
  </si>
  <si>
    <t>19.1.15</t>
  </si>
  <si>
    <t>19.1.16</t>
  </si>
  <si>
    <t>19.1.17</t>
  </si>
  <si>
    <t>19.1.19</t>
  </si>
  <si>
    <t>19.1.20</t>
  </si>
  <si>
    <t>19.1.21</t>
  </si>
  <si>
    <t>19.1.22</t>
  </si>
  <si>
    <t>19.1.23</t>
  </si>
  <si>
    <t>19.1.24</t>
  </si>
  <si>
    <t>19.1.25</t>
  </si>
  <si>
    <t>19.1.26</t>
  </si>
  <si>
    <t>15.2.1</t>
  </si>
  <si>
    <t>15.2.3</t>
  </si>
  <si>
    <t>15.2.4</t>
  </si>
  <si>
    <t>15.2.5</t>
  </si>
  <si>
    <t>15.2.6</t>
  </si>
  <si>
    <t>15.3.1</t>
  </si>
  <si>
    <t>15.3.2</t>
  </si>
  <si>
    <t>15.3.3</t>
  </si>
  <si>
    <t>15.3.4</t>
  </si>
  <si>
    <t>15.3.5</t>
  </si>
  <si>
    <t>15.3.6</t>
  </si>
  <si>
    <t>15.3.7</t>
  </si>
  <si>
    <t>15.3.8</t>
  </si>
  <si>
    <t>15.3.9</t>
  </si>
  <si>
    <t>15.3.10</t>
  </si>
  <si>
    <t>15.3.11</t>
  </si>
  <si>
    <t>15.3.12</t>
  </si>
  <si>
    <t>15.3.13</t>
  </si>
  <si>
    <t>15.3.14</t>
  </si>
  <si>
    <t>15.3.15</t>
  </si>
  <si>
    <t>15.3.25</t>
  </si>
  <si>
    <t>15.3.16</t>
  </si>
  <si>
    <t>15.3.17</t>
  </si>
  <si>
    <t>15.3.18</t>
  </si>
  <si>
    <t>15.3.19</t>
  </si>
  <si>
    <t>15.3.20</t>
  </si>
  <si>
    <t>15.3.22</t>
  </si>
  <si>
    <t>15.3.21</t>
  </si>
  <si>
    <t>15.3.23</t>
  </si>
  <si>
    <t>15.3.24</t>
  </si>
  <si>
    <t>15.3.26</t>
  </si>
  <si>
    <t>15.3.27</t>
  </si>
  <si>
    <t>15.3.28</t>
  </si>
  <si>
    <t>15.3.29</t>
  </si>
  <si>
    <t>15.4.1</t>
  </si>
  <si>
    <t>15.4.2</t>
  </si>
  <si>
    <t>15.4.3</t>
  </si>
  <si>
    <t>15.4.4</t>
  </si>
  <si>
    <t>15.4.5</t>
  </si>
  <si>
    <t>15.4.6</t>
  </si>
  <si>
    <t>BOMBA SUBMERSA VIBRATÓRIA</t>
  </si>
  <si>
    <t>7.105</t>
  </si>
  <si>
    <t>Grupo de Serviço: 176 - Estruturas de Madeira</t>
  </si>
  <si>
    <t>ESTRUTURA DE MADEIRA</t>
  </si>
  <si>
    <t>10.</t>
  </si>
  <si>
    <t>19.3</t>
  </si>
  <si>
    <t>21.1</t>
  </si>
  <si>
    <t>21.2</t>
  </si>
  <si>
    <t>21.3</t>
  </si>
  <si>
    <t>21.4</t>
  </si>
  <si>
    <t>21.5</t>
  </si>
  <si>
    <t>21.6</t>
  </si>
  <si>
    <t>Grupo de Serviço: 176 - Estrutura de Madeira</t>
  </si>
  <si>
    <t xml:space="preserve">ESTRUTURAS DE MADEIRA </t>
  </si>
  <si>
    <t>11.1.1</t>
  </si>
  <si>
    <t>11.1.2</t>
  </si>
  <si>
    <t>11.1.3</t>
  </si>
  <si>
    <t>217,77+43,54+23,49</t>
  </si>
  <si>
    <t>PLANTIO GRAMA ESMERALDA PLACA C/ M.O. IRRIG., ADUBO,TERRA VEGETAL (O.C.) A</t>
  </si>
  <si>
    <t>ABERTURA DE CAVA 60X60X60CM C/ ADUBAÇÃO E PLANTIO DE FOLHAGEM,ARBUSTO, ÁRVORE OU PALMEIRA C/ H=0,50 A 0,70M - EXCLUSO O C</t>
  </si>
  <si>
    <t>LASTRO DE BRITA PARA PISO - (OBRAS CIVIS)</t>
  </si>
  <si>
    <t>(19,3*4,3)+(6,90*3,1)+45,45</t>
  </si>
  <si>
    <t>19,3*4,3</t>
  </si>
  <si>
    <t>6,9*3,1</t>
  </si>
  <si>
    <t>PINT.ESMALTE S/ANTICOR 2 DEMAOS</t>
  </si>
  <si>
    <t>PINT.ESMALTE/ESQUAD.FERRO C/FUNDO ANTICOR</t>
  </si>
  <si>
    <t>Lavanderia Externa</t>
  </si>
  <si>
    <t>19.1.27</t>
  </si>
  <si>
    <t>19.1.28</t>
  </si>
  <si>
    <t>19.1.29</t>
  </si>
  <si>
    <t>Portas</t>
  </si>
  <si>
    <t>Grades Frontais</t>
  </si>
  <si>
    <t>2*(2*(0,9*1,8)+2*(0,9*2,1)+(0,4*0,8)+4*(0,7*2,1))</t>
  </si>
  <si>
    <t>(8,4+3,2+2,7+3)*2,9</t>
  </si>
  <si>
    <t>21.7</t>
  </si>
  <si>
    <t>Grupo de Serviço: 177 - Estruturas Metálicas</t>
  </si>
  <si>
    <t>ESTRUTURA METÁLICA CONVENCIONAL EM AÇO TIPO MR-250 / ASTM A36 COM FUNDO ANTICORROSIVO</t>
  </si>
  <si>
    <t>10*3*6,1</t>
  </si>
  <si>
    <t>Colunas Perfil U 3" Duplo Soldado</t>
  </si>
  <si>
    <t>Terças Barra Chata 2"</t>
  </si>
  <si>
    <t>20*2,8*1,27</t>
  </si>
  <si>
    <t>VIga Perfil U 3" Simples</t>
  </si>
  <si>
    <t>6,1*(13,5+13,5)</t>
  </si>
  <si>
    <t>(10*3*6,1)+(20*2,8*1,27)+(6,1*(13,5+13,5))</t>
  </si>
  <si>
    <t>Clínica Blocos</t>
  </si>
  <si>
    <t>Canil Blocos</t>
  </si>
  <si>
    <t>Gatil Blocos</t>
  </si>
  <si>
    <t>(6+0,94)</t>
  </si>
  <si>
    <t xml:space="preserve">(1,57+0,15) </t>
  </si>
  <si>
    <t xml:space="preserve">(0,78+0,08) </t>
  </si>
  <si>
    <t xml:space="preserve">(6+0,94) </t>
  </si>
  <si>
    <t>11.</t>
  </si>
  <si>
    <t>5.3.5</t>
  </si>
  <si>
    <t>5.3.6</t>
  </si>
  <si>
    <t>8.</t>
  </si>
  <si>
    <t>8.1.1</t>
  </si>
  <si>
    <t>8.1.2</t>
  </si>
  <si>
    <t>8.1.3</t>
  </si>
  <si>
    <t>9.1.4</t>
  </si>
  <si>
    <t>9.1.7</t>
  </si>
  <si>
    <t>9.1.8</t>
  </si>
  <si>
    <t>9.1.9</t>
  </si>
  <si>
    <t>9.1.10</t>
  </si>
  <si>
    <t>9.1.11</t>
  </si>
  <si>
    <t>9.1.12</t>
  </si>
  <si>
    <t>10.1.1</t>
  </si>
  <si>
    <t>Pingadeira Nível 422</t>
  </si>
  <si>
    <t>Pingadeira Nível 482</t>
  </si>
  <si>
    <t>Pingadeira Nível 582</t>
  </si>
  <si>
    <t>REVESTIMENTO DE POCOS (CISTERNA) C/TUBOS (ABERTURA)</t>
  </si>
  <si>
    <t>RES.METALICO TAÇA AÇO PATINÁVEL-V=5M3-COL.SEC.H=6M+FUNDAÇÃO+LOGOTIPO</t>
  </si>
  <si>
    <t>14.3</t>
  </si>
  <si>
    <t>14.4</t>
  </si>
  <si>
    <t>14.5</t>
  </si>
  <si>
    <t>14.6</t>
  </si>
  <si>
    <t>14.7</t>
  </si>
  <si>
    <t>14.8</t>
  </si>
  <si>
    <t>16.1.1</t>
  </si>
  <si>
    <t>16.1.2</t>
  </si>
  <si>
    <t>16.1.3</t>
  </si>
  <si>
    <t>16.1.4</t>
  </si>
  <si>
    <t>16.1.5</t>
  </si>
  <si>
    <t>16.1.6</t>
  </si>
  <si>
    <t>16.1.7</t>
  </si>
  <si>
    <t>16.1.8</t>
  </si>
  <si>
    <t>16.1.19</t>
  </si>
  <si>
    <t>16.1.9</t>
  </si>
  <si>
    <t>16.1.10</t>
  </si>
  <si>
    <t>16.1.11</t>
  </si>
  <si>
    <t>16.1.12</t>
  </si>
  <si>
    <t>16.1.13</t>
  </si>
  <si>
    <t>16.1.14</t>
  </si>
  <si>
    <t>16.1.15</t>
  </si>
  <si>
    <t>16.1.16</t>
  </si>
  <si>
    <t>16.1.18</t>
  </si>
  <si>
    <t>16.1.20</t>
  </si>
  <si>
    <t>16.1.21.</t>
  </si>
  <si>
    <t>16.1.22</t>
  </si>
  <si>
    <t>16.2</t>
  </si>
  <si>
    <t>16.3</t>
  </si>
  <si>
    <t>16.4</t>
  </si>
  <si>
    <t>ESTRUTURAS METÉLICAS</t>
  </si>
  <si>
    <t>1,00*1,30*2,10+1,00*2,20*1,40</t>
  </si>
  <si>
    <t>9,00*1,20*1,00+3,00*0,40*0,40+1,00*1,20*1,80+1,00*1,00*1,00+3,00*0,80*1,80</t>
  </si>
  <si>
    <t>ESCADA TIPO MARINHEIRO COM GUARDA CORPO PADRÃO AGETOP ( H &gt; 3M )</t>
  </si>
  <si>
    <t>13.9</t>
  </si>
  <si>
    <t>GUARDA BICICLETAS</t>
  </si>
  <si>
    <t>13.10</t>
  </si>
  <si>
    <t>INCENDIOS</t>
  </si>
  <si>
    <t>EXTINTOR MULTI USO EM PO A B C (6 KG) - CAPACIDADE EXTINTORA 3A 20BC</t>
  </si>
  <si>
    <t>7.106</t>
  </si>
  <si>
    <t>7.107</t>
  </si>
  <si>
    <t>14.9</t>
  </si>
  <si>
    <t>14.10</t>
  </si>
  <si>
    <t>Forro</t>
  </si>
  <si>
    <t>19.1.30</t>
  </si>
  <si>
    <t>ALAMBRADO EM TUBO INDUSTRIAL 2"#2,28 E TELA MALHA 4" FIO 12 (QUADRA ESPORTE EXISTENTE) SEM PINTURA</t>
  </si>
  <si>
    <t>21.8</t>
  </si>
  <si>
    <t>PORTAO TELA/TUBO FoGo PT1/PT2 C/FERRAGENS</t>
  </si>
  <si>
    <t>13.11</t>
  </si>
  <si>
    <t>14.11</t>
  </si>
  <si>
    <t>21.8.1</t>
  </si>
  <si>
    <t>21.8.2</t>
  </si>
  <si>
    <t>21.8.3</t>
  </si>
  <si>
    <t>21.8.4</t>
  </si>
  <si>
    <t>21.8.5</t>
  </si>
  <si>
    <t>21.8.6</t>
  </si>
  <si>
    <t>21.8.7</t>
  </si>
  <si>
    <t>21.8.8</t>
  </si>
  <si>
    <t>21.8.9</t>
  </si>
  <si>
    <t>21.8.10</t>
  </si>
  <si>
    <t>21.8.11</t>
  </si>
  <si>
    <t>21.8.12</t>
  </si>
  <si>
    <t>21.8.13</t>
  </si>
  <si>
    <t>30+30+40+5,26</t>
  </si>
  <si>
    <t>21.2.1</t>
  </si>
  <si>
    <t>21.2.2</t>
  </si>
  <si>
    <t>(10*1,28*1,5)+(2*4,15*1,5)+(18*1,5)</t>
  </si>
  <si>
    <t>(6,10*2,4) + (7,05*2,4)+(3,18*2,8)+(7,05*3,18)</t>
  </si>
  <si>
    <t>(10*1,28*1,5)+(2*4,15*1,5)+(18*1,5)+(6,10*2,4) + (7,05*2,4)+(3,18*2,8)+(7,05*3,18)</t>
  </si>
  <si>
    <t>(1,5*10*0,52)+(2,1*0,8)</t>
  </si>
  <si>
    <t>(3,30+4,25+2,31+3,95+2,15+1,5)*1,9-(3,00*(0,80*1,80))+(1,20*1,00)+(1,30*2,10)+(2,00*(0,90*2,10))</t>
  </si>
  <si>
    <t>((2,00*2,54)+(4,10*2,00))*1,9-((1,20*10)+(0,90*2,10))</t>
  </si>
  <si>
    <t>(39,91+1,2+1,35)*1,9-((7*0,9*2,1)+(1,1*2,1)+(4*0,8*2,1)+(1,2*1,8)+(1,2*1)+(1,2*2,1))</t>
  </si>
  <si>
    <t>((2,00*4,10)+(2,00*1,20))*1,9-((1,00*1,00)+(0,80*2,10))</t>
  </si>
  <si>
    <t>((2,00*4,10)+(2,00*3,08))*1,9-(0,90*2,10)+(1,20*1,00)</t>
  </si>
  <si>
    <t>(4,00*1,50)*3-(0,80*2,10)</t>
  </si>
  <si>
    <t>(2,05+2,05+2,65+1,90)*3-(0,90*2,10)</t>
  </si>
  <si>
    <t>(2,05+2,05+2,65+1,90)*3-(0,50*0,50)</t>
  </si>
  <si>
    <t>((3,08*2,00)+(1,3*2,00))*3-((2,00*1,20*1,00)+(1,20*1,80))</t>
  </si>
  <si>
    <t>((3,00*2,00)+(2,54*2,00))*3-((1,20*1,00)+(0,80*2,10))</t>
  </si>
  <si>
    <t>(7,08*1,4)-(1,2*1)</t>
  </si>
  <si>
    <t>(4,25+1,00)*1,4-(0,80*2,10)</t>
  </si>
  <si>
    <t>((2,00*2,50)+(2,00*1,50))*1,9-(0,90*2,10)</t>
  </si>
  <si>
    <t>((2,00*1,50)+(2,00*1,00))*1,9-(0,70*2,10)</t>
  </si>
  <si>
    <t>(2,00*2,50+2,00*3,80)*1,9-(2,00*0,90*2,10)</t>
  </si>
  <si>
    <t>((2,00*3,15)+(2,00*2,50))*1,9-((0,90*2,10)+(0,90*2,10)+(0,50*0,50))</t>
  </si>
  <si>
    <t>((2,00)+(4,00*0,90))*1,8</t>
  </si>
  <si>
    <t>((4,00*2,10)+(4,00*0,80)+(2,00*1,10))*2,8-(0,86*2,10*2,00+0,87*2,10*2,00)</t>
  </si>
  <si>
    <t>PINT.ESMALTE SINT.PAREDES - 2 DEM.C/SELADOR</t>
  </si>
  <si>
    <t>19.4</t>
  </si>
  <si>
    <t>19.4.1</t>
  </si>
  <si>
    <t>19.4.2</t>
  </si>
  <si>
    <t>20.4</t>
  </si>
  <si>
    <t>19.2.1</t>
  </si>
  <si>
    <t>19.2.2</t>
  </si>
  <si>
    <t>19.2.3</t>
  </si>
  <si>
    <t>19.2.4</t>
  </si>
  <si>
    <t>19.2.5</t>
  </si>
  <si>
    <t>19.2.6</t>
  </si>
  <si>
    <t>19.2.7</t>
  </si>
  <si>
    <t>19.2.8</t>
  </si>
  <si>
    <t>19.2.9</t>
  </si>
  <si>
    <t>19.2.10</t>
  </si>
  <si>
    <t>19.2.11</t>
  </si>
  <si>
    <t>(3,30+4,25+2,31+3,95+2,15+1,5)*1,1-(3,00*(0,80*1,80))+(1,20*1,00)+(1,30*2,10)+(2,00*(0,90*2,10))</t>
  </si>
  <si>
    <t>200*0,04</t>
  </si>
  <si>
    <t>OBRA: CENTRO DE CASTRAÇÃO MUNICIPAL</t>
  </si>
  <si>
    <t>23 DE OUTUBRO DE 2017</t>
  </si>
  <si>
    <t>CENTRO DE CASTRAÇÃO MUNICIPAL</t>
  </si>
  <si>
    <t xml:space="preserve">    REF.:  AGETOP-TABELA 124 - CUSTOS DE OBRAS CIVIS - OUTUBRO/2016 - DESONERADA                                                                                                          
</t>
  </si>
  <si>
    <t xml:space="preserve">ORÇAMENTO BÁSICO </t>
  </si>
  <si>
    <t>(7,85+14,17+17,10+10,07+5,30+2,54+5,15+1,80+2,15)*3,00+(4,10+1,9+0,15+4,10+1,90+0,15+4,10+2,54+0,15+4,10+1,20+0,15+4,10+3,08+0,15+1,50+1,50+4,10+4,10+2,54+0,15+0,15+4,10+4,10+3,08+3,08+0,15+0,15+0,15+0,15+(1,50+0,15+1,00)*2,00+1,80+0,15+3,08+3,15+3,00+2,54+2,54+0,15+3,80+3,80+3,80+2,50+1,50+1,43+1,20)*3,00+(0,90+0,90)*1,90+(1,9*2,73)</t>
  </si>
  <si>
    <t>(68,07*3,30)-((2,00*0,80*1,80)+(3,00*0,40*0,40)+(7,00*1,20*1,00)+(1,00*1,00)+(0,90*2,10)+(2,00*0,80*2,10)+(1,20*2,10)+(1,30*2,10))</t>
  </si>
  <si>
    <t>((2,00*2,54)+(4,10*2,00))*1,91-((1,20*10)+(0,90*2,10))</t>
  </si>
  <si>
    <t>((2,00*2,54)+(4,10*2,00))*1,1-((1,20*10)+(0,90*2,10))</t>
  </si>
  <si>
    <t>(39,91+1,2+1,35)*1,1-((7*0,9*2,1)+(1,1*2,1)+(4*0,8*2,1)+(1,2*1,8)+(1,2*1)+(1,2*2,1))</t>
  </si>
  <si>
    <t>((2,00*4,10)+(2,00*1,20))*1,1-((1,00*1,00)+(0,80*2,10))</t>
  </si>
  <si>
    <t>((2,00*4,10)+(2,00*3,08))*1,1-(0,90*2,10)+(1,20*1,00)</t>
  </si>
  <si>
    <t>((2,00*2,50)+(2,00*1,50))*1,1-(0,90*2,10)</t>
  </si>
  <si>
    <t>((2,00*1,50)+(2,00*1,00))*1,1-(0,70*2,10)</t>
  </si>
  <si>
    <t>((2,00*3,15)+(2,00*2,50))*1,1-((0,90*2,10)+(0,90*2,10)+(0,50*0,50))</t>
  </si>
  <si>
    <t>2*((0,7*2,1)+6*(0,8*2,10)+7*(0,9*2,1)+2*(1,10*2,1)+2*(0,9*2,10)+19*(0,05*5,1)</t>
  </si>
  <si>
    <t>((8,4+3,2+2,7+3)*2,9)/2</t>
  </si>
  <si>
    <t>2*(2*(0,9*1,8)+2*(0,9*2,1)+(0,4*0,8)+4*(0,7*2,1))+8*(0,05*5,1)+((8,4+3,2+2,7+3)*2,9)/2</t>
  </si>
  <si>
    <t>TOMADA DE PREÇO 010/2017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</si>
</sst>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170" formatCode="_(&quot;R$ &quot;* #,##0.00_);_(&quot;R$ &quot;* \(#,##0.00\);_(&quot;R$ &quot;* &quot;-&quot;??_);_(@_)"/>
    <numFmt numFmtId="171" formatCode="_(* #,##0.00_);_(* \(#,##0.00\);_(* &quot;-&quot;??_);_(@_)"/>
    <numFmt numFmtId="175" formatCode="&quot;R$&quot;\ #,##0.00"/>
    <numFmt numFmtId="183" formatCode="_-[$R$-416]\ * #,##0.00_-;\-[$R$-416]\ * #,##0.00_-;_-[$R$-416]\ * &quot;-&quot;??_-;_-@_-"/>
  </numFmts>
  <fonts count="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358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3" fillId="0" borderId="5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/>
    <xf numFmtId="0" fontId="3" fillId="0" borderId="0" xfId="0" applyFont="1" applyAlignment="1"/>
    <xf numFmtId="0" fontId="4" fillId="0" borderId="0" xfId="0" applyFont="1" applyFill="1" applyAlignment="1"/>
    <xf numFmtId="2" fontId="3" fillId="0" borderId="1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183" fontId="3" fillId="0" borderId="6" xfId="0" applyNumberFormat="1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wrapText="1"/>
    </xf>
    <xf numFmtId="0" fontId="4" fillId="0" borderId="0" xfId="0" applyFont="1" applyFill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wrapText="1"/>
    </xf>
    <xf numFmtId="0" fontId="3" fillId="0" borderId="8" xfId="0" applyFont="1" applyBorder="1" applyAlignment="1"/>
    <xf numFmtId="0" fontId="3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wrapText="1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6" xfId="2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wrapText="1"/>
    </xf>
    <xf numFmtId="2" fontId="3" fillId="0" borderId="6" xfId="0" applyNumberFormat="1" applyFont="1" applyFill="1" applyBorder="1" applyAlignment="1">
      <alignment horizont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2" fontId="5" fillId="0" borderId="6" xfId="0" applyNumberFormat="1" applyFont="1" applyBorder="1" applyAlignment="1">
      <alignment horizontal="center" wrapText="1"/>
    </xf>
    <xf numFmtId="2" fontId="3" fillId="0" borderId="4" xfId="2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4" xfId="0" quotePrefix="1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2" fontId="4" fillId="0" borderId="4" xfId="0" quotePrefix="1" applyNumberFormat="1" applyFont="1" applyFill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83" fontId="3" fillId="0" borderId="4" xfId="1" applyNumberFormat="1" applyFont="1" applyBorder="1" applyAlignment="1">
      <alignment horizontal="justify" vertical="center" wrapText="1"/>
    </xf>
    <xf numFmtId="175" fontId="3" fillId="0" borderId="12" xfId="0" applyNumberFormat="1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175" fontId="3" fillId="0" borderId="12" xfId="0" applyNumberFormat="1" applyFont="1" applyBorder="1" applyAlignment="1">
      <alignment horizontal="justify" vertical="center"/>
    </xf>
    <xf numFmtId="0" fontId="3" fillId="0" borderId="12" xfId="0" applyFont="1" applyBorder="1" applyAlignment="1">
      <alignment horizontal="justify" vertical="center"/>
    </xf>
    <xf numFmtId="183" fontId="3" fillId="0" borderId="7" xfId="1" applyNumberFormat="1" applyFont="1" applyBorder="1" applyAlignment="1">
      <alignment horizontal="justify" vertical="center" wrapText="1"/>
    </xf>
    <xf numFmtId="175" fontId="4" fillId="0" borderId="0" xfId="0" applyNumberFormat="1" applyFont="1" applyFill="1" applyBorder="1" applyAlignment="1">
      <alignment horizontal="justify" vertical="center"/>
    </xf>
    <xf numFmtId="183" fontId="4" fillId="0" borderId="0" xfId="1" applyNumberFormat="1" applyFont="1" applyFill="1" applyBorder="1" applyAlignment="1">
      <alignment horizontal="justify" vertical="center"/>
    </xf>
    <xf numFmtId="175" fontId="4" fillId="0" borderId="0" xfId="0" applyNumberFormat="1" applyFont="1" applyAlignment="1">
      <alignment horizontal="justify" vertical="center"/>
    </xf>
    <xf numFmtId="183" fontId="4" fillId="0" borderId="0" xfId="1" applyNumberFormat="1" applyFont="1" applyAlignment="1">
      <alignment horizontal="justify" vertical="center"/>
    </xf>
    <xf numFmtId="0" fontId="3" fillId="0" borderId="4" xfId="0" applyFont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2" fontId="4" fillId="3" borderId="6" xfId="2" applyNumberFormat="1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0" borderId="4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 wrapText="1"/>
    </xf>
    <xf numFmtId="0" fontId="3" fillId="0" borderId="9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wrapText="1"/>
    </xf>
    <xf numFmtId="2" fontId="5" fillId="0" borderId="8" xfId="0" applyNumberFormat="1" applyFont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2" fontId="5" fillId="0" borderId="6" xfId="0" applyNumberFormat="1" applyFont="1" applyFill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2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/>
    <xf numFmtId="2" fontId="4" fillId="3" borderId="4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4" fillId="0" borderId="14" xfId="0" applyFont="1" applyBorder="1"/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/>
    </xf>
    <xf numFmtId="0" fontId="4" fillId="0" borderId="16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center" wrapText="1"/>
    </xf>
    <xf numFmtId="0" fontId="4" fillId="0" borderId="16" xfId="0" applyNumberFormat="1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3" fontId="4" fillId="0" borderId="3" xfId="0" applyNumberFormat="1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left" vertical="center"/>
    </xf>
    <xf numFmtId="183" fontId="3" fillId="0" borderId="18" xfId="0" applyNumberFormat="1" applyFont="1" applyBorder="1" applyAlignment="1">
      <alignment vertical="center"/>
    </xf>
    <xf numFmtId="183" fontId="3" fillId="0" borderId="2" xfId="0" applyNumberFormat="1" applyFont="1" applyBorder="1" applyAlignment="1">
      <alignment vertical="center"/>
    </xf>
    <xf numFmtId="0" fontId="5" fillId="3" borderId="4" xfId="0" applyFont="1" applyFill="1" applyBorder="1" applyAlignment="1">
      <alignment vertical="center" wrapText="1"/>
    </xf>
    <xf numFmtId="2" fontId="4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175" fontId="3" fillId="0" borderId="1" xfId="0" applyNumberFormat="1" applyFont="1" applyBorder="1" applyAlignment="1" applyProtection="1">
      <alignment horizontal="justify" vertical="center" wrapText="1"/>
      <protection locked="0"/>
    </xf>
    <xf numFmtId="175" fontId="3" fillId="0" borderId="1" xfId="0" applyNumberFormat="1" applyFont="1" applyBorder="1" applyAlignment="1" applyProtection="1">
      <alignment horizontal="center" vertical="center" wrapText="1"/>
      <protection locked="0"/>
    </xf>
    <xf numFmtId="183" fontId="3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83" fontId="4" fillId="0" borderId="4" xfId="1" applyNumberFormat="1" applyFont="1" applyBorder="1" applyAlignment="1" applyProtection="1">
      <alignment horizontal="justify" vertical="center" wrapText="1"/>
      <protection locked="0"/>
    </xf>
    <xf numFmtId="183" fontId="3" fillId="0" borderId="6" xfId="0" applyNumberFormat="1" applyFont="1" applyBorder="1" applyAlignment="1" applyProtection="1">
      <alignment horizontal="center" vertical="center" wrapText="1"/>
      <protection locked="0"/>
    </xf>
    <xf numFmtId="175" fontId="4" fillId="0" borderId="4" xfId="0" applyNumberFormat="1" applyFont="1" applyFill="1" applyBorder="1" applyAlignment="1" applyProtection="1">
      <alignment horizontal="justify" vertical="center" wrapText="1"/>
      <protection locked="0"/>
    </xf>
    <xf numFmtId="183" fontId="4" fillId="0" borderId="7" xfId="1" applyNumberFormat="1" applyFont="1" applyBorder="1" applyAlignment="1" applyProtection="1">
      <alignment horizontal="justify" vertical="center" wrapText="1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12" xfId="0" applyFont="1" applyFill="1" applyBorder="1" applyAlignment="1" applyProtection="1">
      <alignment wrapText="1"/>
      <protection locked="0"/>
    </xf>
    <xf numFmtId="0" fontId="3" fillId="0" borderId="11" xfId="0" applyFont="1" applyFill="1" applyBorder="1" applyAlignment="1" applyProtection="1">
      <alignment wrapText="1"/>
      <protection locked="0"/>
    </xf>
    <xf numFmtId="183" fontId="4" fillId="0" borderId="7" xfId="1" applyNumberFormat="1" applyFont="1" applyBorder="1" applyAlignment="1" applyProtection="1">
      <alignment horizontal="justify" vertical="center"/>
      <protection locked="0"/>
    </xf>
    <xf numFmtId="183" fontId="3" fillId="0" borderId="4" xfId="1" applyNumberFormat="1" applyFont="1" applyBorder="1" applyAlignment="1" applyProtection="1">
      <alignment horizontal="justify" vertical="center" wrapText="1"/>
      <protection locked="0"/>
    </xf>
    <xf numFmtId="183" fontId="3" fillId="0" borderId="35" xfId="1" applyNumberFormat="1" applyFont="1" applyFill="1" applyBorder="1" applyAlignment="1" applyProtection="1">
      <alignment horizontal="justify" vertical="center" wrapText="1"/>
      <protection locked="0"/>
    </xf>
    <xf numFmtId="183" fontId="3" fillId="0" borderId="36" xfId="0" applyNumberFormat="1" applyFont="1" applyFill="1" applyBorder="1" applyAlignment="1" applyProtection="1">
      <alignment horizontal="center" wrapText="1"/>
      <protection locked="0"/>
    </xf>
    <xf numFmtId="183" fontId="3" fillId="0" borderId="1" xfId="1" applyNumberFormat="1" applyFont="1" applyBorder="1" applyAlignment="1" applyProtection="1">
      <alignment horizontal="justify" vertical="center" wrapText="1"/>
      <protection locked="0"/>
    </xf>
    <xf numFmtId="44" fontId="4" fillId="0" borderId="4" xfId="1" applyNumberFormat="1" applyFont="1" applyBorder="1" applyAlignment="1" applyProtection="1">
      <alignment horizontal="justify" vertical="center" wrapText="1"/>
      <protection locked="0"/>
    </xf>
    <xf numFmtId="0" fontId="3" fillId="0" borderId="25" xfId="0" applyFont="1" applyFill="1" applyBorder="1" applyAlignment="1">
      <alignment horizontal="right" wrapText="1"/>
    </xf>
    <xf numFmtId="0" fontId="3" fillId="0" borderId="26" xfId="0" applyFont="1" applyFill="1" applyBorder="1" applyAlignment="1">
      <alignment horizontal="right" wrapText="1"/>
    </xf>
    <xf numFmtId="0" fontId="3" fillId="0" borderId="27" xfId="0" applyFont="1" applyFill="1" applyBorder="1" applyAlignment="1">
      <alignment horizontal="right" wrapText="1"/>
    </xf>
    <xf numFmtId="0" fontId="3" fillId="0" borderId="23" xfId="0" applyFont="1" applyBorder="1" applyAlignment="1">
      <alignment horizontal="right" wrapText="1"/>
    </xf>
    <xf numFmtId="0" fontId="3" fillId="0" borderId="12" xfId="0" applyFont="1" applyBorder="1" applyAlignment="1">
      <alignment horizontal="right" wrapText="1"/>
    </xf>
    <xf numFmtId="0" fontId="3" fillId="0" borderId="11" xfId="0" applyFont="1" applyBorder="1" applyAlignment="1">
      <alignment horizontal="right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2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31" xfId="0" applyFont="1" applyBorder="1" applyAlignment="1" applyProtection="1">
      <alignment horizontal="center" wrapText="1"/>
      <protection locked="0"/>
    </xf>
    <xf numFmtId="0" fontId="3" fillId="0" borderId="32" xfId="0" applyFont="1" applyBorder="1" applyAlignment="1" applyProtection="1">
      <alignment horizontal="center" wrapText="1"/>
      <protection locked="0"/>
    </xf>
    <xf numFmtId="0" fontId="3" fillId="0" borderId="33" xfId="0" applyFont="1" applyBorder="1" applyAlignment="1" applyProtection="1">
      <alignment horizont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>
      <alignment horizontal="right" wrapText="1"/>
    </xf>
    <xf numFmtId="0" fontId="3" fillId="0" borderId="20" xfId="0" applyFont="1" applyBorder="1" applyAlignment="1">
      <alignment horizontal="right" wrapText="1"/>
    </xf>
    <xf numFmtId="0" fontId="3" fillId="0" borderId="24" xfId="0" applyFont="1" applyBorder="1" applyAlignment="1">
      <alignment horizontal="right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2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31" xfId="0" applyFont="1" applyFill="1" applyBorder="1" applyAlignment="1" applyProtection="1">
      <alignment horizontal="center" vertical="center" wrapText="1"/>
      <protection locked="0"/>
    </xf>
    <xf numFmtId="0" fontId="3" fillId="3" borderId="32" xfId="0" applyFont="1" applyFill="1" applyBorder="1" applyAlignment="1" applyProtection="1">
      <alignment horizontal="center" vertical="center" wrapText="1"/>
      <protection locked="0"/>
    </xf>
    <xf numFmtId="0" fontId="3" fillId="3" borderId="33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0" fontId="3" fillId="2" borderId="8" xfId="0" applyFont="1" applyFill="1" applyBorder="1" applyAlignment="1" applyProtection="1">
      <alignment horizontal="left" wrapText="1"/>
      <protection locked="0"/>
    </xf>
    <xf numFmtId="0" fontId="3" fillId="0" borderId="8" xfId="0" applyFont="1" applyBorder="1" applyAlignment="1">
      <alignment horizontal="left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2" borderId="37" xfId="0" applyFont="1" applyFill="1" applyBorder="1" applyAlignment="1" applyProtection="1">
      <alignment horizontal="center" vertical="center" wrapText="1"/>
      <protection locked="0"/>
    </xf>
    <xf numFmtId="0" fontId="3" fillId="2" borderId="38" xfId="0" applyFont="1" applyFill="1" applyBorder="1" applyAlignment="1" applyProtection="1">
      <alignment horizontal="center" vertical="center" wrapText="1"/>
      <protection locked="0"/>
    </xf>
    <xf numFmtId="0" fontId="3" fillId="2" borderId="39" xfId="0" applyFont="1" applyFill="1" applyBorder="1" applyAlignment="1" applyProtection="1">
      <alignment horizontal="center" vertical="center" wrapText="1"/>
      <protection locked="0"/>
    </xf>
    <xf numFmtId="175" fontId="5" fillId="0" borderId="22" xfId="0" applyNumberFormat="1" applyFont="1" applyBorder="1" applyAlignment="1">
      <alignment horizontal="center"/>
    </xf>
    <xf numFmtId="175" fontId="5" fillId="0" borderId="18" xfId="0" applyNumberFormat="1" applyFont="1" applyBorder="1" applyAlignment="1">
      <alignment horizontal="center"/>
    </xf>
    <xf numFmtId="175" fontId="5" fillId="0" borderId="2" xfId="0" applyNumberFormat="1" applyFont="1" applyBorder="1" applyAlignment="1">
      <alignment horizontal="center"/>
    </xf>
    <xf numFmtId="0" fontId="4" fillId="0" borderId="10" xfId="0" applyNumberFormat="1" applyFont="1" applyFill="1" applyBorder="1" applyAlignment="1">
      <alignment horizontal="left" vertical="center"/>
    </xf>
    <xf numFmtId="0" fontId="4" fillId="0" borderId="28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/>
    </xf>
    <xf numFmtId="0" fontId="4" fillId="0" borderId="10" xfId="0" applyNumberFormat="1" applyFont="1" applyBorder="1" applyAlignment="1">
      <alignment horizontal="left" vertical="center"/>
    </xf>
    <xf numFmtId="0" fontId="4" fillId="0" borderId="28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0" borderId="23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4" fillId="0" borderId="23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>
      <alignment horizontal="left" vertical="center" wrapText="1"/>
    </xf>
    <xf numFmtId="0" fontId="4" fillId="0" borderId="12" xfId="0" applyNumberFormat="1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/>
    </xf>
    <xf numFmtId="0" fontId="3" fillId="0" borderId="8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3" borderId="29" xfId="0" applyFont="1" applyFill="1" applyBorder="1" applyAlignment="1"/>
    <xf numFmtId="0" fontId="3" fillId="3" borderId="30" xfId="0" applyFont="1" applyFill="1" applyBorder="1" applyAlignment="1"/>
    <xf numFmtId="0" fontId="3" fillId="3" borderId="17" xfId="0" applyFont="1" applyFill="1" applyBorder="1" applyAlignment="1"/>
    <xf numFmtId="0" fontId="3" fillId="3" borderId="16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13" xfId="0" applyFont="1" applyFill="1" applyBorder="1" applyAlignment="1"/>
    <xf numFmtId="0" fontId="3" fillId="2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right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23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2</xdr:col>
      <xdr:colOff>1438275</xdr:colOff>
      <xdr:row>5</xdr:row>
      <xdr:rowOff>57150</xdr:rowOff>
    </xdr:to>
    <xdr:pic>
      <xdr:nvPicPr>
        <xdr:cNvPr id="55319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29" r="2"/>
        <a:stretch>
          <a:fillRect/>
        </a:stretch>
      </xdr:blipFill>
      <xdr:spPr bwMode="auto">
        <a:xfrm>
          <a:off x="85725" y="85725"/>
          <a:ext cx="22955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1619250</xdr:colOff>
      <xdr:row>4</xdr:row>
      <xdr:rowOff>66675</xdr:rowOff>
    </xdr:to>
    <xdr:pic>
      <xdr:nvPicPr>
        <xdr:cNvPr id="56345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29" r="2"/>
        <a:stretch>
          <a:fillRect/>
        </a:stretch>
      </xdr:blipFill>
      <xdr:spPr bwMode="auto">
        <a:xfrm>
          <a:off x="95250" y="57150"/>
          <a:ext cx="19716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J361"/>
  <sheetViews>
    <sheetView showGridLines="0" zoomScale="85" zoomScaleNormal="85" zoomScaleSheetLayoutView="85" zoomScalePageLayoutView="25" workbookViewId="0">
      <selection activeCell="C346" sqref="C346"/>
    </sheetView>
  </sheetViews>
  <sheetFormatPr defaultRowHeight="12.75" x14ac:dyDescent="0.2"/>
  <cols>
    <col min="1" max="1" width="5.7109375" style="169" customWidth="1"/>
    <col min="2" max="2" width="8.42578125" style="50" customWidth="1"/>
    <col min="3" max="3" width="82.42578125" style="51" customWidth="1"/>
    <col min="4" max="4" width="9.5703125" style="107" bestFit="1" customWidth="1"/>
    <col min="5" max="5" width="7.42578125" style="102" bestFit="1" customWidth="1"/>
    <col min="6" max="6" width="11.42578125" style="118" customWidth="1"/>
    <col min="7" max="7" width="14" style="118" customWidth="1"/>
    <col min="8" max="8" width="14.28515625" style="119" customWidth="1"/>
    <col min="9" max="9" width="14.5703125" style="131" customWidth="1"/>
    <col min="10" max="10" width="9.28515625" style="1" bestFit="1" customWidth="1"/>
    <col min="11" max="16384" width="9.140625" style="1"/>
  </cols>
  <sheetData>
    <row r="1" spans="1:10" x14ac:dyDescent="0.2">
      <c r="A1" s="266"/>
      <c r="B1" s="267"/>
      <c r="C1" s="267"/>
      <c r="D1" s="267"/>
      <c r="E1" s="267"/>
      <c r="F1" s="267"/>
      <c r="G1" s="267"/>
      <c r="H1" s="267"/>
      <c r="I1" s="268"/>
      <c r="J1" s="176"/>
    </row>
    <row r="2" spans="1:10" s="7" customFormat="1" ht="12.75" customHeight="1" x14ac:dyDescent="0.2">
      <c r="A2" s="269" t="s">
        <v>1124</v>
      </c>
      <c r="B2" s="270"/>
      <c r="C2" s="270"/>
      <c r="D2" s="270"/>
      <c r="E2" s="270"/>
      <c r="F2" s="270"/>
      <c r="G2" s="270"/>
      <c r="H2" s="270"/>
      <c r="I2" s="271"/>
      <c r="J2" s="176"/>
    </row>
    <row r="3" spans="1:10" s="7" customFormat="1" ht="12.75" customHeight="1" x14ac:dyDescent="0.2">
      <c r="A3" s="269" t="s">
        <v>1110</v>
      </c>
      <c r="B3" s="270"/>
      <c r="C3" s="270"/>
      <c r="D3" s="270"/>
      <c r="E3" s="270"/>
      <c r="F3" s="270"/>
      <c r="G3" s="270"/>
      <c r="H3" s="270"/>
      <c r="I3" s="271"/>
      <c r="J3" s="176"/>
    </row>
    <row r="4" spans="1:10" s="7" customFormat="1" ht="12.75" customHeight="1" x14ac:dyDescent="0.2">
      <c r="A4" s="269" t="s">
        <v>1108</v>
      </c>
      <c r="B4" s="270"/>
      <c r="C4" s="270"/>
      <c r="D4" s="270"/>
      <c r="E4" s="270"/>
      <c r="F4" s="270"/>
      <c r="G4" s="270"/>
      <c r="H4" s="270"/>
      <c r="I4" s="271"/>
      <c r="J4" s="176"/>
    </row>
    <row r="5" spans="1:10" s="7" customFormat="1" ht="12.75" customHeight="1" x14ac:dyDescent="0.2">
      <c r="A5" s="269" t="s">
        <v>286</v>
      </c>
      <c r="B5" s="270"/>
      <c r="C5" s="270"/>
      <c r="D5" s="270"/>
      <c r="E5" s="270"/>
      <c r="F5" s="270"/>
      <c r="G5" s="270"/>
      <c r="H5" s="270"/>
      <c r="I5" s="271"/>
      <c r="J5" s="176"/>
    </row>
    <row r="6" spans="1:10" s="18" customFormat="1" ht="13.5" customHeight="1" thickBot="1" x14ac:dyDescent="0.25">
      <c r="A6" s="243" t="s">
        <v>1109</v>
      </c>
      <c r="B6" s="244"/>
      <c r="C6" s="244"/>
      <c r="D6" s="244"/>
      <c r="E6" s="244"/>
      <c r="F6" s="244"/>
      <c r="G6" s="244"/>
      <c r="H6" s="244"/>
      <c r="I6" s="245"/>
      <c r="J6" s="176"/>
    </row>
    <row r="7" spans="1:10" s="7" customFormat="1" x14ac:dyDescent="0.2">
      <c r="A7" s="246" t="s">
        <v>1106</v>
      </c>
      <c r="B7" s="247"/>
      <c r="C7" s="247"/>
      <c r="D7" s="247"/>
      <c r="E7" s="247"/>
      <c r="F7" s="247"/>
      <c r="G7" s="247"/>
      <c r="H7" s="247"/>
      <c r="I7" s="248"/>
      <c r="J7" s="176"/>
    </row>
    <row r="8" spans="1:10" s="7" customFormat="1" ht="13.5" thickBot="1" x14ac:dyDescent="0.25">
      <c r="A8" s="274" t="s">
        <v>614</v>
      </c>
      <c r="B8" s="275"/>
      <c r="C8" s="275"/>
      <c r="D8" s="275"/>
      <c r="E8" s="275"/>
      <c r="F8" s="275"/>
      <c r="G8" s="275"/>
      <c r="H8" s="275"/>
      <c r="I8" s="276"/>
      <c r="J8" s="176"/>
    </row>
    <row r="9" spans="1:10" s="7" customFormat="1" ht="22.5" customHeight="1" x14ac:dyDescent="0.2">
      <c r="A9" s="187" t="s">
        <v>0</v>
      </c>
      <c r="B9" s="188" t="s">
        <v>222</v>
      </c>
      <c r="C9" s="189" t="s">
        <v>27</v>
      </c>
      <c r="D9" s="190" t="s">
        <v>1</v>
      </c>
      <c r="E9" s="191" t="s">
        <v>2</v>
      </c>
      <c r="F9" s="192" t="s">
        <v>20</v>
      </c>
      <c r="G9" s="193" t="s">
        <v>21</v>
      </c>
      <c r="H9" s="194" t="s">
        <v>3</v>
      </c>
      <c r="I9" s="195" t="s">
        <v>217</v>
      </c>
      <c r="J9" s="176"/>
    </row>
    <row r="10" spans="1:10" s="7" customFormat="1" x14ac:dyDescent="0.2">
      <c r="A10" s="277" t="s">
        <v>13</v>
      </c>
      <c r="B10" s="278"/>
      <c r="C10" s="278"/>
      <c r="D10" s="278"/>
      <c r="E10" s="278"/>
      <c r="F10" s="278"/>
      <c r="G10" s="278"/>
      <c r="H10" s="278"/>
      <c r="I10" s="279"/>
      <c r="J10" s="176"/>
    </row>
    <row r="11" spans="1:10" s="18" customFormat="1" x14ac:dyDescent="0.2">
      <c r="A11" s="19">
        <v>1</v>
      </c>
      <c r="B11" s="20">
        <v>20000</v>
      </c>
      <c r="C11" s="230" t="s">
        <v>14</v>
      </c>
      <c r="D11" s="231"/>
      <c r="E11" s="231"/>
      <c r="F11" s="231"/>
      <c r="G11" s="231"/>
      <c r="H11" s="231"/>
      <c r="I11" s="232"/>
      <c r="J11" s="176"/>
    </row>
    <row r="12" spans="1:10" s="7" customFormat="1" ht="24" customHeight="1" x14ac:dyDescent="0.2">
      <c r="A12" s="22" t="s">
        <v>409</v>
      </c>
      <c r="B12" s="23">
        <v>20200</v>
      </c>
      <c r="C12" s="43" t="s">
        <v>287</v>
      </c>
      <c r="D12" s="68">
        <v>312.26</v>
      </c>
      <c r="E12" s="24" t="s">
        <v>34</v>
      </c>
      <c r="F12" s="208">
        <v>0</v>
      </c>
      <c r="G12" s="208">
        <v>0</v>
      </c>
      <c r="H12" s="196">
        <f t="shared" ref="H12:H19" si="0">D12*(G12+F12)</f>
        <v>0</v>
      </c>
      <c r="I12" s="215"/>
      <c r="J12" s="176"/>
    </row>
    <row r="13" spans="1:10" s="7" customFormat="1" x14ac:dyDescent="0.2">
      <c r="A13" s="22" t="s">
        <v>4</v>
      </c>
      <c r="B13" s="23">
        <v>20202</v>
      </c>
      <c r="C13" s="51" t="s">
        <v>18</v>
      </c>
      <c r="D13" s="68">
        <v>1200</v>
      </c>
      <c r="E13" s="24" t="s">
        <v>34</v>
      </c>
      <c r="F13" s="208">
        <v>0</v>
      </c>
      <c r="G13" s="208">
        <v>0</v>
      </c>
      <c r="H13" s="196">
        <f t="shared" si="0"/>
        <v>0</v>
      </c>
      <c r="I13" s="216"/>
      <c r="J13" s="176"/>
    </row>
    <row r="14" spans="1:10" s="7" customFormat="1" ht="51.75" customHeight="1" x14ac:dyDescent="0.2">
      <c r="A14" s="22" t="s">
        <v>10</v>
      </c>
      <c r="B14" s="23">
        <v>20212</v>
      </c>
      <c r="C14" s="43" t="s">
        <v>288</v>
      </c>
      <c r="D14" s="68">
        <v>20</v>
      </c>
      <c r="E14" s="24" t="s">
        <v>34</v>
      </c>
      <c r="F14" s="208">
        <v>0</v>
      </c>
      <c r="G14" s="208">
        <v>0</v>
      </c>
      <c r="H14" s="196">
        <f t="shared" si="0"/>
        <v>0</v>
      </c>
      <c r="I14" s="216"/>
      <c r="J14" s="176"/>
    </row>
    <row r="15" spans="1:10" s="7" customFormat="1" ht="27.75" customHeight="1" x14ac:dyDescent="0.2">
      <c r="A15" s="22" t="s">
        <v>11</v>
      </c>
      <c r="B15" s="23">
        <v>20701</v>
      </c>
      <c r="C15" s="43" t="s">
        <v>19</v>
      </c>
      <c r="D15" s="68">
        <v>312.26</v>
      </c>
      <c r="E15" s="24" t="s">
        <v>34</v>
      </c>
      <c r="F15" s="208">
        <v>0</v>
      </c>
      <c r="G15" s="208">
        <v>0</v>
      </c>
      <c r="H15" s="196">
        <f t="shared" si="0"/>
        <v>0</v>
      </c>
      <c r="I15" s="216"/>
      <c r="J15" s="176"/>
    </row>
    <row r="16" spans="1:10" s="7" customFormat="1" x14ac:dyDescent="0.2">
      <c r="A16" s="22" t="s">
        <v>12</v>
      </c>
      <c r="B16" s="23">
        <v>20807</v>
      </c>
      <c r="C16" s="43" t="s">
        <v>998</v>
      </c>
      <c r="D16" s="68">
        <v>60</v>
      </c>
      <c r="E16" s="24" t="s">
        <v>33</v>
      </c>
      <c r="F16" s="208">
        <v>0</v>
      </c>
      <c r="G16" s="208">
        <v>0</v>
      </c>
      <c r="H16" s="196">
        <f t="shared" si="0"/>
        <v>0</v>
      </c>
      <c r="I16" s="216"/>
      <c r="J16" s="176"/>
    </row>
    <row r="17" spans="1:10" s="7" customFormat="1" x14ac:dyDescent="0.2">
      <c r="A17" s="22" t="s">
        <v>15</v>
      </c>
      <c r="B17" s="23">
        <v>20808</v>
      </c>
      <c r="C17" s="43" t="s">
        <v>289</v>
      </c>
      <c r="D17" s="68">
        <v>1</v>
      </c>
      <c r="E17" s="24" t="s">
        <v>2</v>
      </c>
      <c r="F17" s="208">
        <v>0</v>
      </c>
      <c r="G17" s="208">
        <v>0</v>
      </c>
      <c r="H17" s="196">
        <f t="shared" si="0"/>
        <v>0</v>
      </c>
      <c r="I17" s="216"/>
      <c r="J17" s="176"/>
    </row>
    <row r="18" spans="1:10" s="7" customFormat="1" ht="25.5" x14ac:dyDescent="0.2">
      <c r="A18" s="22" t="s">
        <v>16</v>
      </c>
      <c r="B18" s="23">
        <v>21301</v>
      </c>
      <c r="C18" s="43" t="s">
        <v>291</v>
      </c>
      <c r="D18" s="68">
        <v>3</v>
      </c>
      <c r="E18" s="24" t="s">
        <v>34</v>
      </c>
      <c r="F18" s="208">
        <v>0</v>
      </c>
      <c r="G18" s="208">
        <v>0</v>
      </c>
      <c r="H18" s="196">
        <f t="shared" si="0"/>
        <v>0</v>
      </c>
      <c r="I18" s="216"/>
      <c r="J18" s="176"/>
    </row>
    <row r="19" spans="1:10" s="7" customFormat="1" ht="25.5" x14ac:dyDescent="0.2">
      <c r="A19" s="22" t="s">
        <v>17</v>
      </c>
      <c r="B19" s="23">
        <v>21602</v>
      </c>
      <c r="C19" s="43" t="s">
        <v>290</v>
      </c>
      <c r="D19" s="68">
        <v>312.26</v>
      </c>
      <c r="E19" s="24" t="s">
        <v>34</v>
      </c>
      <c r="F19" s="208">
        <v>0</v>
      </c>
      <c r="G19" s="208">
        <v>0</v>
      </c>
      <c r="H19" s="196">
        <f t="shared" si="0"/>
        <v>0</v>
      </c>
      <c r="I19" s="217"/>
      <c r="J19" s="176"/>
    </row>
    <row r="20" spans="1:10" s="7" customFormat="1" x14ac:dyDescent="0.2">
      <c r="A20" s="212" t="s">
        <v>22</v>
      </c>
      <c r="B20" s="213"/>
      <c r="C20" s="213"/>
      <c r="D20" s="213"/>
      <c r="E20" s="213"/>
      <c r="F20" s="213"/>
      <c r="G20" s="214"/>
      <c r="H20" s="110">
        <f>SUM(H12:H19)</f>
        <v>0</v>
      </c>
      <c r="I20" s="197">
        <f>H20+(H20*0.273)</f>
        <v>0</v>
      </c>
      <c r="J20" s="176"/>
    </row>
    <row r="21" spans="1:10" s="7" customFormat="1" x14ac:dyDescent="0.2">
      <c r="A21" s="249" t="s">
        <v>23</v>
      </c>
      <c r="B21" s="250"/>
      <c r="C21" s="250"/>
      <c r="D21" s="250"/>
      <c r="E21" s="250"/>
      <c r="F21" s="250"/>
      <c r="G21" s="250"/>
      <c r="H21" s="250"/>
      <c r="I21" s="251"/>
      <c r="J21" s="176"/>
    </row>
    <row r="22" spans="1:10" s="18" customFormat="1" x14ac:dyDescent="0.2">
      <c r="A22" s="19">
        <v>2</v>
      </c>
      <c r="B22" s="20">
        <v>30000</v>
      </c>
      <c r="C22" s="230" t="s">
        <v>24</v>
      </c>
      <c r="D22" s="231"/>
      <c r="E22" s="231"/>
      <c r="F22" s="231"/>
      <c r="G22" s="231"/>
      <c r="H22" s="231"/>
      <c r="I22" s="232"/>
      <c r="J22" s="176"/>
    </row>
    <row r="23" spans="1:10" s="7" customFormat="1" ht="16.5" customHeight="1" x14ac:dyDescent="0.2">
      <c r="A23" s="22" t="s">
        <v>5</v>
      </c>
      <c r="B23" s="23">
        <v>30105</v>
      </c>
      <c r="C23" s="43" t="s">
        <v>619</v>
      </c>
      <c r="D23" s="68">
        <v>15</v>
      </c>
      <c r="E23" s="24" t="s">
        <v>35</v>
      </c>
      <c r="F23" s="196">
        <v>0</v>
      </c>
      <c r="G23" s="196">
        <v>0</v>
      </c>
      <c r="H23" s="196">
        <f>D23*(G23+F23)</f>
        <v>0</v>
      </c>
      <c r="I23" s="21"/>
      <c r="J23" s="176"/>
    </row>
    <row r="24" spans="1:10" s="7" customFormat="1" x14ac:dyDescent="0.2">
      <c r="A24" s="212" t="s">
        <v>22</v>
      </c>
      <c r="B24" s="213"/>
      <c r="C24" s="213"/>
      <c r="D24" s="213"/>
      <c r="E24" s="213"/>
      <c r="F24" s="213"/>
      <c r="G24" s="214"/>
      <c r="H24" s="110">
        <f>SUM(H23)</f>
        <v>0</v>
      </c>
      <c r="I24" s="197">
        <f>H24+(H24*0.273)</f>
        <v>0</v>
      </c>
      <c r="J24" s="176"/>
    </row>
    <row r="25" spans="1:10" s="7" customFormat="1" x14ac:dyDescent="0.2">
      <c r="A25" s="249" t="s">
        <v>25</v>
      </c>
      <c r="B25" s="250"/>
      <c r="C25" s="250"/>
      <c r="D25" s="250"/>
      <c r="E25" s="250"/>
      <c r="F25" s="250"/>
      <c r="G25" s="250"/>
      <c r="H25" s="250"/>
      <c r="I25" s="251"/>
      <c r="J25" s="176"/>
    </row>
    <row r="26" spans="1:10" s="18" customFormat="1" x14ac:dyDescent="0.2">
      <c r="A26" s="8">
        <v>3</v>
      </c>
      <c r="B26" s="20">
        <v>40000</v>
      </c>
      <c r="C26" s="230" t="s">
        <v>28</v>
      </c>
      <c r="D26" s="231"/>
      <c r="E26" s="231"/>
      <c r="F26" s="231"/>
      <c r="G26" s="231"/>
      <c r="H26" s="231"/>
      <c r="I26" s="232"/>
      <c r="J26" s="176"/>
    </row>
    <row r="27" spans="1:10" s="7" customFormat="1" x14ac:dyDescent="0.2">
      <c r="A27" s="22" t="s">
        <v>6</v>
      </c>
      <c r="B27" s="23">
        <v>40101</v>
      </c>
      <c r="C27" s="43" t="s">
        <v>29</v>
      </c>
      <c r="D27" s="68">
        <f>147.68*0.2*0.3</f>
        <v>8.8607999999999993</v>
      </c>
      <c r="E27" s="26" t="s">
        <v>35</v>
      </c>
      <c r="F27" s="196">
        <v>0</v>
      </c>
      <c r="G27" s="196">
        <v>0</v>
      </c>
      <c r="H27" s="196">
        <f>D27*(G27+F27)</f>
        <v>0</v>
      </c>
      <c r="I27" s="215"/>
      <c r="J27" s="176"/>
    </row>
    <row r="28" spans="1:10" s="7" customFormat="1" x14ac:dyDescent="0.2">
      <c r="A28" s="80" t="s">
        <v>8</v>
      </c>
      <c r="B28" s="42">
        <v>40905</v>
      </c>
      <c r="C28" s="51" t="s">
        <v>292</v>
      </c>
      <c r="D28" s="82">
        <v>312.26</v>
      </c>
      <c r="E28" s="36" t="s">
        <v>34</v>
      </c>
      <c r="F28" s="196">
        <v>0</v>
      </c>
      <c r="G28" s="196">
        <v>0</v>
      </c>
      <c r="H28" s="196">
        <f>D28*(G28+F28)</f>
        <v>0</v>
      </c>
      <c r="I28" s="216"/>
      <c r="J28" s="176"/>
    </row>
    <row r="29" spans="1:10" s="7" customFormat="1" ht="25.5" x14ac:dyDescent="0.2">
      <c r="A29" s="22" t="s">
        <v>30</v>
      </c>
      <c r="B29" s="23">
        <v>41140</v>
      </c>
      <c r="C29" s="43" t="s">
        <v>621</v>
      </c>
      <c r="D29" s="68">
        <v>312.26</v>
      </c>
      <c r="E29" s="26" t="s">
        <v>34</v>
      </c>
      <c r="F29" s="196">
        <v>0</v>
      </c>
      <c r="G29" s="196">
        <v>0</v>
      </c>
      <c r="H29" s="196">
        <f>D29*(G29+F29)</f>
        <v>0</v>
      </c>
      <c r="I29" s="217"/>
      <c r="J29" s="176"/>
    </row>
    <row r="30" spans="1:10" s="7" customFormat="1" x14ac:dyDescent="0.2">
      <c r="A30" s="212" t="s">
        <v>22</v>
      </c>
      <c r="B30" s="213"/>
      <c r="C30" s="213"/>
      <c r="D30" s="213"/>
      <c r="E30" s="213"/>
      <c r="F30" s="213"/>
      <c r="G30" s="214"/>
      <c r="H30" s="110">
        <f>SUM(H26:H29)</f>
        <v>0</v>
      </c>
      <c r="I30" s="197">
        <f>H30+(H30*0.273)</f>
        <v>0</v>
      </c>
      <c r="J30" s="176"/>
    </row>
    <row r="31" spans="1:10" s="7" customFormat="1" x14ac:dyDescent="0.2">
      <c r="A31" s="249" t="s">
        <v>31</v>
      </c>
      <c r="B31" s="250"/>
      <c r="C31" s="250"/>
      <c r="D31" s="250"/>
      <c r="E31" s="250"/>
      <c r="F31" s="250"/>
      <c r="G31" s="250"/>
      <c r="H31" s="250"/>
      <c r="I31" s="251"/>
      <c r="J31" s="176"/>
    </row>
    <row r="32" spans="1:10" s="7" customFormat="1" x14ac:dyDescent="0.2">
      <c r="A32" s="8">
        <v>4</v>
      </c>
      <c r="B32" s="20">
        <v>50000</v>
      </c>
      <c r="C32" s="230" t="s">
        <v>32</v>
      </c>
      <c r="D32" s="231"/>
      <c r="E32" s="231"/>
      <c r="F32" s="231"/>
      <c r="G32" s="231"/>
      <c r="H32" s="231"/>
      <c r="I32" s="232"/>
      <c r="J32" s="176"/>
    </row>
    <row r="33" spans="1:10" s="7" customFormat="1" x14ac:dyDescent="0.2">
      <c r="A33" s="22" t="s">
        <v>40</v>
      </c>
      <c r="B33" s="48">
        <v>50302</v>
      </c>
      <c r="C33" s="51" t="s">
        <v>631</v>
      </c>
      <c r="D33" s="84">
        <f>(38*3)+(12*2.5)+(6*2.5)</f>
        <v>159</v>
      </c>
      <c r="E33" s="50" t="s">
        <v>33</v>
      </c>
      <c r="F33" s="196">
        <v>0</v>
      </c>
      <c r="G33" s="196">
        <v>0</v>
      </c>
      <c r="H33" s="196">
        <f>D33*(G33+F33)</f>
        <v>0</v>
      </c>
      <c r="I33" s="218"/>
      <c r="J33" s="176"/>
    </row>
    <row r="34" spans="1:10" s="7" customFormat="1" x14ac:dyDescent="0.2">
      <c r="A34" s="22" t="s">
        <v>41</v>
      </c>
      <c r="B34" s="48">
        <v>50901</v>
      </c>
      <c r="C34" s="43" t="s">
        <v>623</v>
      </c>
      <c r="D34" s="84">
        <f>35*(0.5*0.5*0.5) + 1*(2.1*0.5*0.95)</f>
        <v>5.3724999999999996</v>
      </c>
      <c r="E34" s="48" t="s">
        <v>35</v>
      </c>
      <c r="F34" s="196">
        <v>0</v>
      </c>
      <c r="G34" s="196">
        <v>0</v>
      </c>
      <c r="H34" s="196">
        <f t="shared" ref="H34:H41" si="1">D34*(G34+F34)</f>
        <v>0</v>
      </c>
      <c r="I34" s="219"/>
      <c r="J34" s="176"/>
    </row>
    <row r="35" spans="1:10" s="7" customFormat="1" x14ac:dyDescent="0.2">
      <c r="A35" s="22" t="s">
        <v>42</v>
      </c>
      <c r="B35" s="48">
        <v>50902</v>
      </c>
      <c r="C35" s="43" t="s">
        <v>624</v>
      </c>
      <c r="D35" s="84">
        <f>(35*0.5*0.5)+(2.1*0.5)+(147.68*0.1)</f>
        <v>24.568000000000001</v>
      </c>
      <c r="E35" s="48" t="s">
        <v>34</v>
      </c>
      <c r="F35" s="196">
        <v>0</v>
      </c>
      <c r="G35" s="196">
        <v>0</v>
      </c>
      <c r="H35" s="196">
        <f t="shared" si="1"/>
        <v>0</v>
      </c>
      <c r="I35" s="219"/>
      <c r="J35" s="176"/>
    </row>
    <row r="36" spans="1:10" s="7" customFormat="1" x14ac:dyDescent="0.2">
      <c r="A36" s="22" t="s">
        <v>43</v>
      </c>
      <c r="B36" s="48">
        <v>51009</v>
      </c>
      <c r="C36" s="43" t="s">
        <v>625</v>
      </c>
      <c r="D36" s="84">
        <f>(35*0.5*0.5*4)+(2*2.1*0.95)+(2*0.5*0.95)</f>
        <v>39.940000000000005</v>
      </c>
      <c r="E36" s="48" t="s">
        <v>34</v>
      </c>
      <c r="F36" s="196">
        <v>0</v>
      </c>
      <c r="G36" s="196">
        <v>0</v>
      </c>
      <c r="H36" s="196">
        <f t="shared" si="1"/>
        <v>0</v>
      </c>
      <c r="I36" s="219"/>
      <c r="J36" s="176"/>
    </row>
    <row r="37" spans="1:10" s="7" customFormat="1" x14ac:dyDescent="0.2">
      <c r="A37" s="22" t="s">
        <v>44</v>
      </c>
      <c r="B37" s="48">
        <v>52014</v>
      </c>
      <c r="C37" s="52" t="s">
        <v>298</v>
      </c>
      <c r="D37" s="84">
        <f>15.9+2.2+31.9+4.4+111.3+25</f>
        <v>190.7</v>
      </c>
      <c r="E37" s="48" t="s">
        <v>37</v>
      </c>
      <c r="F37" s="196">
        <v>0</v>
      </c>
      <c r="G37" s="196">
        <v>0</v>
      </c>
      <c r="H37" s="196">
        <f t="shared" si="1"/>
        <v>0</v>
      </c>
      <c r="I37" s="219"/>
      <c r="J37" s="176"/>
    </row>
    <row r="38" spans="1:10" s="7" customFormat="1" x14ac:dyDescent="0.2">
      <c r="A38" s="22" t="s">
        <v>45</v>
      </c>
      <c r="B38" s="48">
        <v>52004</v>
      </c>
      <c r="C38" s="52" t="s">
        <v>36</v>
      </c>
      <c r="D38" s="84">
        <v>6</v>
      </c>
      <c r="E38" s="48" t="s">
        <v>37</v>
      </c>
      <c r="F38" s="196">
        <v>0</v>
      </c>
      <c r="G38" s="196">
        <v>0</v>
      </c>
      <c r="H38" s="196">
        <f t="shared" si="1"/>
        <v>0</v>
      </c>
      <c r="I38" s="219"/>
      <c r="J38" s="176"/>
    </row>
    <row r="39" spans="1:10" s="7" customFormat="1" x14ac:dyDescent="0.2">
      <c r="A39" s="22" t="s">
        <v>622</v>
      </c>
      <c r="B39" s="48">
        <v>52005</v>
      </c>
      <c r="C39" s="52" t="s">
        <v>51</v>
      </c>
      <c r="D39" s="84">
        <f>115+120.6+30.4+27.1+14.7+14.7</f>
        <v>322.5</v>
      </c>
      <c r="E39" s="48" t="s">
        <v>37</v>
      </c>
      <c r="F39" s="196">
        <v>0</v>
      </c>
      <c r="G39" s="196">
        <v>0</v>
      </c>
      <c r="H39" s="196">
        <f t="shared" si="1"/>
        <v>0</v>
      </c>
      <c r="I39" s="219"/>
      <c r="J39" s="176"/>
    </row>
    <row r="40" spans="1:10" s="7" customFormat="1" ht="15" customHeight="1" x14ac:dyDescent="0.2">
      <c r="A40" s="22" t="s">
        <v>626</v>
      </c>
      <c r="B40" s="48">
        <v>51030</v>
      </c>
      <c r="C40" s="52" t="s">
        <v>226</v>
      </c>
      <c r="D40" s="84">
        <f>'Memória de Cálculo'!D49</f>
        <v>9.52</v>
      </c>
      <c r="E40" s="48" t="s">
        <v>35</v>
      </c>
      <c r="F40" s="196">
        <v>0</v>
      </c>
      <c r="G40" s="196">
        <v>0</v>
      </c>
      <c r="H40" s="196">
        <f t="shared" si="1"/>
        <v>0</v>
      </c>
      <c r="I40" s="219"/>
      <c r="J40" s="176"/>
    </row>
    <row r="41" spans="1:10" s="7" customFormat="1" ht="15.75" customHeight="1" x14ac:dyDescent="0.2">
      <c r="A41" s="22" t="s">
        <v>627</v>
      </c>
      <c r="B41" s="48">
        <v>51026</v>
      </c>
      <c r="C41" s="52" t="s">
        <v>299</v>
      </c>
      <c r="D41" s="68">
        <f>D40</f>
        <v>9.52</v>
      </c>
      <c r="E41" s="24" t="s">
        <v>35</v>
      </c>
      <c r="F41" s="196">
        <v>0</v>
      </c>
      <c r="G41" s="196">
        <v>0</v>
      </c>
      <c r="H41" s="196">
        <f t="shared" si="1"/>
        <v>0</v>
      </c>
      <c r="I41" s="220"/>
      <c r="J41" s="176"/>
    </row>
    <row r="42" spans="1:10" s="7" customFormat="1" x14ac:dyDescent="0.2">
      <c r="A42" s="212" t="s">
        <v>22</v>
      </c>
      <c r="B42" s="213"/>
      <c r="C42" s="213"/>
      <c r="D42" s="213"/>
      <c r="E42" s="213"/>
      <c r="F42" s="213"/>
      <c r="G42" s="214"/>
      <c r="H42" s="110">
        <f>SUM(H33:H41)</f>
        <v>0</v>
      </c>
      <c r="I42" s="197">
        <f>H42+(H42*0.273)</f>
        <v>0</v>
      </c>
      <c r="J42" s="176"/>
    </row>
    <row r="43" spans="1:10" s="7" customFormat="1" x14ac:dyDescent="0.2">
      <c r="A43" s="249" t="s">
        <v>38</v>
      </c>
      <c r="B43" s="250"/>
      <c r="C43" s="250"/>
      <c r="D43" s="250"/>
      <c r="E43" s="250"/>
      <c r="F43" s="250"/>
      <c r="G43" s="250"/>
      <c r="H43" s="250"/>
      <c r="I43" s="251"/>
      <c r="J43" s="176"/>
    </row>
    <row r="44" spans="1:10" s="7" customFormat="1" x14ac:dyDescent="0.2">
      <c r="A44" s="8">
        <v>5</v>
      </c>
      <c r="B44" s="20">
        <v>60000</v>
      </c>
      <c r="C44" s="230" t="s">
        <v>39</v>
      </c>
      <c r="D44" s="231"/>
      <c r="E44" s="231"/>
      <c r="F44" s="231"/>
      <c r="G44" s="231"/>
      <c r="H44" s="231"/>
      <c r="I44" s="232"/>
      <c r="J44" s="176"/>
    </row>
    <row r="45" spans="1:10" s="7" customFormat="1" x14ac:dyDescent="0.2">
      <c r="A45" s="27" t="s">
        <v>46</v>
      </c>
      <c r="B45" s="23">
        <v>60010</v>
      </c>
      <c r="C45" s="43" t="s">
        <v>664</v>
      </c>
      <c r="D45" s="68">
        <f>'Memória de Cálculo'!D60</f>
        <v>1.9265999999999999</v>
      </c>
      <c r="E45" s="23" t="s">
        <v>35</v>
      </c>
      <c r="F45" s="196">
        <v>0</v>
      </c>
      <c r="G45" s="196">
        <v>0</v>
      </c>
      <c r="H45" s="196">
        <f>D45*(G45+F45)</f>
        <v>0</v>
      </c>
      <c r="I45" s="221"/>
      <c r="J45" s="176"/>
    </row>
    <row r="46" spans="1:10" s="7" customFormat="1" x14ac:dyDescent="0.2">
      <c r="A46" s="27" t="s">
        <v>47</v>
      </c>
      <c r="B46" s="23">
        <v>60191</v>
      </c>
      <c r="C46" s="43" t="s">
        <v>665</v>
      </c>
      <c r="D46" s="68">
        <f>'Memória de Cálculo'!D63</f>
        <v>130.99199999999999</v>
      </c>
      <c r="E46" s="23" t="s">
        <v>34</v>
      </c>
      <c r="F46" s="196">
        <v>0</v>
      </c>
      <c r="G46" s="196">
        <v>0</v>
      </c>
      <c r="H46" s="196">
        <f t="shared" ref="H46:H54" si="2">D46*(G46+F46)</f>
        <v>0</v>
      </c>
      <c r="I46" s="222"/>
      <c r="J46" s="176"/>
    </row>
    <row r="47" spans="1:10" s="7" customFormat="1" x14ac:dyDescent="0.2">
      <c r="A47" s="27" t="s">
        <v>48</v>
      </c>
      <c r="B47" s="23">
        <v>60209</v>
      </c>
      <c r="C47" s="43" t="s">
        <v>679</v>
      </c>
      <c r="D47" s="68">
        <f>'Memória de Cálculo'!D64</f>
        <v>265.54973440000003</v>
      </c>
      <c r="E47" s="23" t="s">
        <v>34</v>
      </c>
      <c r="F47" s="196">
        <v>0</v>
      </c>
      <c r="G47" s="196">
        <v>0</v>
      </c>
      <c r="H47" s="196">
        <f t="shared" si="2"/>
        <v>0</v>
      </c>
      <c r="I47" s="222"/>
      <c r="J47" s="176"/>
    </row>
    <row r="48" spans="1:10" s="7" customFormat="1" x14ac:dyDescent="0.2">
      <c r="A48" s="27" t="s">
        <v>410</v>
      </c>
      <c r="B48" s="48">
        <v>60314</v>
      </c>
      <c r="C48" s="52" t="s">
        <v>298</v>
      </c>
      <c r="D48" s="68">
        <f>'Memória de Cálculo'!D71</f>
        <v>631.5</v>
      </c>
      <c r="E48" s="24" t="s">
        <v>37</v>
      </c>
      <c r="F48" s="196">
        <v>0</v>
      </c>
      <c r="G48" s="196">
        <v>0</v>
      </c>
      <c r="H48" s="196">
        <f t="shared" si="2"/>
        <v>0</v>
      </c>
      <c r="I48" s="222"/>
      <c r="J48" s="176"/>
    </row>
    <row r="49" spans="1:10" s="7" customFormat="1" x14ac:dyDescent="0.2">
      <c r="A49" s="27" t="s">
        <v>49</v>
      </c>
      <c r="B49" s="48">
        <v>60303</v>
      </c>
      <c r="C49" s="52" t="s">
        <v>243</v>
      </c>
      <c r="D49" s="68">
        <f>'Memória de Cálculo'!D75</f>
        <v>4.3000000000000007</v>
      </c>
      <c r="E49" s="24" t="s">
        <v>37</v>
      </c>
      <c r="F49" s="196">
        <v>0</v>
      </c>
      <c r="G49" s="196">
        <v>0</v>
      </c>
      <c r="H49" s="196">
        <f t="shared" si="2"/>
        <v>0</v>
      </c>
      <c r="I49" s="222"/>
      <c r="J49" s="176"/>
    </row>
    <row r="50" spans="1:10" s="7" customFormat="1" x14ac:dyDescent="0.2">
      <c r="A50" s="27" t="s">
        <v>50</v>
      </c>
      <c r="B50" s="48">
        <v>60304</v>
      </c>
      <c r="C50" s="52" t="s">
        <v>36</v>
      </c>
      <c r="D50" s="68">
        <f>'Memória de Cálculo'!D78</f>
        <v>830.2</v>
      </c>
      <c r="E50" s="24" t="s">
        <v>37</v>
      </c>
      <c r="F50" s="196">
        <v>0</v>
      </c>
      <c r="G50" s="196">
        <v>0</v>
      </c>
      <c r="H50" s="196">
        <f t="shared" si="2"/>
        <v>0</v>
      </c>
      <c r="I50" s="222"/>
      <c r="J50" s="176"/>
    </row>
    <row r="51" spans="1:10" s="7" customFormat="1" ht="15" customHeight="1" x14ac:dyDescent="0.2">
      <c r="A51" s="27" t="s">
        <v>52</v>
      </c>
      <c r="B51" s="48">
        <v>60305</v>
      </c>
      <c r="C51" s="52" t="s">
        <v>51</v>
      </c>
      <c r="D51" s="68">
        <f>'Memória de Cálculo'!D81</f>
        <v>595.20000000000005</v>
      </c>
      <c r="E51" s="24" t="s">
        <v>35</v>
      </c>
      <c r="F51" s="196">
        <v>0</v>
      </c>
      <c r="G51" s="196">
        <v>0</v>
      </c>
      <c r="H51" s="196">
        <f t="shared" si="2"/>
        <v>0</v>
      </c>
      <c r="I51" s="222"/>
      <c r="J51" s="176"/>
    </row>
    <row r="52" spans="1:10" s="7" customFormat="1" ht="13.5" customHeight="1" x14ac:dyDescent="0.2">
      <c r="A52" s="27" t="s">
        <v>53</v>
      </c>
      <c r="B52" s="48">
        <v>60517</v>
      </c>
      <c r="C52" s="52" t="s">
        <v>226</v>
      </c>
      <c r="D52" s="68">
        <f>'Memória de Cálculo'!D84</f>
        <v>25.9</v>
      </c>
      <c r="E52" s="24" t="s">
        <v>35</v>
      </c>
      <c r="F52" s="196">
        <v>0</v>
      </c>
      <c r="G52" s="196">
        <v>0</v>
      </c>
      <c r="H52" s="196">
        <f t="shared" si="2"/>
        <v>0</v>
      </c>
      <c r="I52" s="222"/>
      <c r="J52" s="176"/>
    </row>
    <row r="53" spans="1:10" s="7" customFormat="1" x14ac:dyDescent="0.2">
      <c r="A53" s="27" t="s">
        <v>667</v>
      </c>
      <c r="B53" s="48">
        <v>60801</v>
      </c>
      <c r="C53" s="52" t="s">
        <v>300</v>
      </c>
      <c r="D53" s="68">
        <f>'Memória de Cálculo'!D88</f>
        <v>25.9</v>
      </c>
      <c r="E53" s="24" t="s">
        <v>35</v>
      </c>
      <c r="F53" s="196">
        <v>0</v>
      </c>
      <c r="G53" s="196">
        <v>0</v>
      </c>
      <c r="H53" s="196">
        <f t="shared" si="2"/>
        <v>0</v>
      </c>
      <c r="I53" s="222"/>
      <c r="J53" s="176"/>
    </row>
    <row r="54" spans="1:10" s="7" customFormat="1" ht="25.5" x14ac:dyDescent="0.2">
      <c r="A54" s="27" t="s">
        <v>669</v>
      </c>
      <c r="B54" s="48">
        <v>61101</v>
      </c>
      <c r="C54" s="43" t="s">
        <v>666</v>
      </c>
      <c r="D54" s="68">
        <v>243.2</v>
      </c>
      <c r="E54" s="24" t="s">
        <v>34</v>
      </c>
      <c r="F54" s="196">
        <v>0</v>
      </c>
      <c r="G54" s="196">
        <v>0</v>
      </c>
      <c r="H54" s="196">
        <f t="shared" si="2"/>
        <v>0</v>
      </c>
      <c r="I54" s="223"/>
      <c r="J54" s="176"/>
    </row>
    <row r="55" spans="1:10" s="7" customFormat="1" x14ac:dyDescent="0.2">
      <c r="A55" s="212" t="s">
        <v>22</v>
      </c>
      <c r="B55" s="213"/>
      <c r="C55" s="213"/>
      <c r="D55" s="213"/>
      <c r="E55" s="213"/>
      <c r="F55" s="213"/>
      <c r="G55" s="214"/>
      <c r="H55" s="110">
        <f>SUM(H45:H54)</f>
        <v>0</v>
      </c>
      <c r="I55" s="197">
        <f>H55+(H55*0.273)</f>
        <v>0</v>
      </c>
      <c r="J55" s="176"/>
    </row>
    <row r="56" spans="1:10" s="7" customFormat="1" x14ac:dyDescent="0.2">
      <c r="A56" s="249" t="s">
        <v>54</v>
      </c>
      <c r="B56" s="250"/>
      <c r="C56" s="250"/>
      <c r="D56" s="250"/>
      <c r="E56" s="250"/>
      <c r="F56" s="250"/>
      <c r="G56" s="250"/>
      <c r="H56" s="250"/>
      <c r="I56" s="251"/>
      <c r="J56" s="176"/>
    </row>
    <row r="57" spans="1:10" s="7" customFormat="1" x14ac:dyDescent="0.2">
      <c r="A57" s="8">
        <v>6</v>
      </c>
      <c r="B57" s="23">
        <v>70000</v>
      </c>
      <c r="C57" s="230" t="s">
        <v>55</v>
      </c>
      <c r="D57" s="231"/>
      <c r="E57" s="231"/>
      <c r="F57" s="231"/>
      <c r="G57" s="231"/>
      <c r="H57" s="231"/>
      <c r="I57" s="232"/>
      <c r="J57" s="176"/>
    </row>
    <row r="58" spans="1:10" s="7" customFormat="1" x14ac:dyDescent="0.2">
      <c r="A58" s="29" t="s">
        <v>56</v>
      </c>
      <c r="B58" s="69">
        <v>70422</v>
      </c>
      <c r="C58" s="43" t="s">
        <v>301</v>
      </c>
      <c r="D58" s="68">
        <v>2</v>
      </c>
      <c r="E58" s="98" t="s">
        <v>302</v>
      </c>
      <c r="F58" s="196">
        <v>0</v>
      </c>
      <c r="G58" s="196">
        <v>0</v>
      </c>
      <c r="H58" s="196">
        <f>D58*(F58+G58)</f>
        <v>0</v>
      </c>
      <c r="I58" s="215"/>
      <c r="J58" s="176"/>
    </row>
    <row r="59" spans="1:10" s="7" customFormat="1" x14ac:dyDescent="0.2">
      <c r="A59" s="29" t="s">
        <v>71</v>
      </c>
      <c r="B59" s="70">
        <v>70692</v>
      </c>
      <c r="C59" s="43" t="s">
        <v>70</v>
      </c>
      <c r="D59" s="68">
        <v>72</v>
      </c>
      <c r="E59" s="98" t="s">
        <v>2</v>
      </c>
      <c r="F59" s="196">
        <v>0</v>
      </c>
      <c r="G59" s="196">
        <v>0</v>
      </c>
      <c r="H59" s="196">
        <f t="shared" ref="H59:H121" si="3">D59*(F59+G59)</f>
        <v>0</v>
      </c>
      <c r="I59" s="216"/>
      <c r="J59" s="176"/>
    </row>
    <row r="60" spans="1:10" s="7" customFormat="1" x14ac:dyDescent="0.2">
      <c r="A60" s="29" t="s">
        <v>72</v>
      </c>
      <c r="B60" s="70">
        <v>70682</v>
      </c>
      <c r="C60" s="15" t="s">
        <v>303</v>
      </c>
      <c r="D60" s="63">
        <v>26</v>
      </c>
      <c r="E60" s="54" t="s">
        <v>2</v>
      </c>
      <c r="F60" s="196">
        <v>0</v>
      </c>
      <c r="G60" s="196">
        <v>0</v>
      </c>
      <c r="H60" s="196">
        <f t="shared" si="3"/>
        <v>0</v>
      </c>
      <c r="I60" s="216"/>
      <c r="J60" s="176"/>
    </row>
    <row r="61" spans="1:10" s="7" customFormat="1" x14ac:dyDescent="0.2">
      <c r="A61" s="29" t="s">
        <v>73</v>
      </c>
      <c r="B61" s="70">
        <v>70631</v>
      </c>
      <c r="C61" s="15" t="s">
        <v>304</v>
      </c>
      <c r="D61" s="63">
        <v>1</v>
      </c>
      <c r="E61" s="54" t="s">
        <v>2</v>
      </c>
      <c r="F61" s="196">
        <v>0</v>
      </c>
      <c r="G61" s="196">
        <v>0</v>
      </c>
      <c r="H61" s="196">
        <f t="shared" si="3"/>
        <v>0</v>
      </c>
      <c r="I61" s="216"/>
      <c r="J61" s="176"/>
    </row>
    <row r="62" spans="1:10" s="7" customFormat="1" x14ac:dyDescent="0.2">
      <c r="A62" s="29" t="s">
        <v>74</v>
      </c>
      <c r="B62" s="69">
        <v>70951</v>
      </c>
      <c r="C62" s="15" t="s">
        <v>305</v>
      </c>
      <c r="D62" s="63">
        <v>6</v>
      </c>
      <c r="E62" s="54" t="s">
        <v>2</v>
      </c>
      <c r="F62" s="196">
        <v>0</v>
      </c>
      <c r="G62" s="196">
        <v>0</v>
      </c>
      <c r="H62" s="196">
        <f t="shared" si="3"/>
        <v>0</v>
      </c>
      <c r="I62" s="216"/>
      <c r="J62" s="176"/>
    </row>
    <row r="63" spans="1:10" s="7" customFormat="1" x14ac:dyDescent="0.2">
      <c r="A63" s="29" t="s">
        <v>75</v>
      </c>
      <c r="B63" s="69">
        <v>71142</v>
      </c>
      <c r="C63" s="15" t="s">
        <v>306</v>
      </c>
      <c r="D63" s="63">
        <v>4</v>
      </c>
      <c r="E63" s="54" t="s">
        <v>2</v>
      </c>
      <c r="F63" s="196">
        <v>0</v>
      </c>
      <c r="G63" s="196">
        <v>0</v>
      </c>
      <c r="H63" s="196">
        <f t="shared" si="3"/>
        <v>0</v>
      </c>
      <c r="I63" s="216"/>
      <c r="J63" s="176"/>
    </row>
    <row r="64" spans="1:10" s="7" customFormat="1" x14ac:dyDescent="0.2">
      <c r="A64" s="29" t="s">
        <v>76</v>
      </c>
      <c r="B64" s="69">
        <v>71742</v>
      </c>
      <c r="C64" s="15" t="s">
        <v>307</v>
      </c>
      <c r="D64" s="63">
        <v>5</v>
      </c>
      <c r="E64" s="54" t="s">
        <v>2</v>
      </c>
      <c r="F64" s="196">
        <v>0</v>
      </c>
      <c r="G64" s="196">
        <v>0</v>
      </c>
      <c r="H64" s="196">
        <f t="shared" si="3"/>
        <v>0</v>
      </c>
      <c r="I64" s="216"/>
      <c r="J64" s="176"/>
    </row>
    <row r="65" spans="1:10" s="7" customFormat="1" x14ac:dyDescent="0.2">
      <c r="A65" s="29" t="s">
        <v>77</v>
      </c>
      <c r="B65" s="70">
        <v>70251</v>
      </c>
      <c r="C65" s="15" t="s">
        <v>308</v>
      </c>
      <c r="D65" s="63">
        <v>4</v>
      </c>
      <c r="E65" s="54" t="s">
        <v>2</v>
      </c>
      <c r="F65" s="196">
        <v>0</v>
      </c>
      <c r="G65" s="196">
        <v>0</v>
      </c>
      <c r="H65" s="196">
        <f t="shared" si="3"/>
        <v>0</v>
      </c>
      <c r="I65" s="216"/>
      <c r="J65" s="176"/>
    </row>
    <row r="66" spans="1:10" s="7" customFormat="1" x14ac:dyDescent="0.2">
      <c r="A66" s="29" t="s">
        <v>78</v>
      </c>
      <c r="B66" s="69">
        <v>70391</v>
      </c>
      <c r="C66" s="15" t="s">
        <v>309</v>
      </c>
      <c r="D66" s="63">
        <v>10</v>
      </c>
      <c r="E66" s="54" t="s">
        <v>2</v>
      </c>
      <c r="F66" s="196">
        <v>0</v>
      </c>
      <c r="G66" s="196">
        <v>0</v>
      </c>
      <c r="H66" s="196">
        <f t="shared" si="3"/>
        <v>0</v>
      </c>
      <c r="I66" s="216"/>
      <c r="J66" s="176"/>
    </row>
    <row r="67" spans="1:10" s="7" customFormat="1" x14ac:dyDescent="0.2">
      <c r="A67" s="29" t="s">
        <v>79</v>
      </c>
      <c r="B67" s="70">
        <v>71861</v>
      </c>
      <c r="C67" s="15" t="s">
        <v>310</v>
      </c>
      <c r="D67" s="105">
        <v>10</v>
      </c>
      <c r="E67" s="54" t="s">
        <v>2</v>
      </c>
      <c r="F67" s="196">
        <v>0</v>
      </c>
      <c r="G67" s="196">
        <v>0</v>
      </c>
      <c r="H67" s="196">
        <f t="shared" si="3"/>
        <v>0</v>
      </c>
      <c r="I67" s="216"/>
      <c r="J67" s="176"/>
    </row>
    <row r="68" spans="1:10" s="7" customFormat="1" x14ac:dyDescent="0.2">
      <c r="A68" s="29" t="s">
        <v>80</v>
      </c>
      <c r="B68" s="70">
        <v>71290</v>
      </c>
      <c r="C68" s="15" t="s">
        <v>311</v>
      </c>
      <c r="D68" s="63">
        <v>822.91</v>
      </c>
      <c r="E68" s="54" t="s">
        <v>33</v>
      </c>
      <c r="F68" s="196">
        <v>0</v>
      </c>
      <c r="G68" s="196">
        <v>0</v>
      </c>
      <c r="H68" s="196">
        <f t="shared" si="3"/>
        <v>0</v>
      </c>
      <c r="I68" s="216"/>
      <c r="J68" s="176"/>
    </row>
    <row r="69" spans="1:10" s="7" customFormat="1" x14ac:dyDescent="0.2">
      <c r="A69" s="29" t="s">
        <v>88</v>
      </c>
      <c r="B69" s="70">
        <v>71291</v>
      </c>
      <c r="C69" s="15" t="s">
        <v>85</v>
      </c>
      <c r="D69" s="63">
        <v>1647.38</v>
      </c>
      <c r="E69" s="54" t="s">
        <v>33</v>
      </c>
      <c r="F69" s="196">
        <v>0</v>
      </c>
      <c r="G69" s="196">
        <v>0</v>
      </c>
      <c r="H69" s="196">
        <f t="shared" si="3"/>
        <v>0</v>
      </c>
      <c r="I69" s="216"/>
      <c r="J69" s="176"/>
    </row>
    <row r="70" spans="1:10" s="7" customFormat="1" x14ac:dyDescent="0.2">
      <c r="A70" s="29" t="s">
        <v>89</v>
      </c>
      <c r="B70" s="70">
        <v>71292</v>
      </c>
      <c r="C70" s="15" t="s">
        <v>82</v>
      </c>
      <c r="D70" s="63">
        <v>109.04</v>
      </c>
      <c r="E70" s="54" t="s">
        <v>33</v>
      </c>
      <c r="F70" s="196">
        <v>0</v>
      </c>
      <c r="G70" s="196">
        <v>0</v>
      </c>
      <c r="H70" s="196">
        <f t="shared" si="3"/>
        <v>0</v>
      </c>
      <c r="I70" s="216"/>
      <c r="J70" s="176"/>
    </row>
    <row r="71" spans="1:10" s="7" customFormat="1" x14ac:dyDescent="0.2">
      <c r="A71" s="29" t="s">
        <v>90</v>
      </c>
      <c r="B71" s="70">
        <v>70645</v>
      </c>
      <c r="C71" s="15" t="s">
        <v>312</v>
      </c>
      <c r="D71" s="63">
        <v>1</v>
      </c>
      <c r="E71" s="54" t="s">
        <v>2</v>
      </c>
      <c r="F71" s="196">
        <v>0</v>
      </c>
      <c r="G71" s="196">
        <v>0</v>
      </c>
      <c r="H71" s="196">
        <f t="shared" si="3"/>
        <v>0</v>
      </c>
      <c r="I71" s="216"/>
      <c r="J71" s="176"/>
    </row>
    <row r="72" spans="1:10" s="7" customFormat="1" x14ac:dyDescent="0.2">
      <c r="A72" s="29" t="s">
        <v>91</v>
      </c>
      <c r="B72" s="70">
        <v>70648</v>
      </c>
      <c r="C72" s="15" t="s">
        <v>313</v>
      </c>
      <c r="D72" s="63">
        <v>1</v>
      </c>
      <c r="E72" s="54" t="s">
        <v>2</v>
      </c>
      <c r="F72" s="196">
        <v>0</v>
      </c>
      <c r="G72" s="196">
        <v>0</v>
      </c>
      <c r="H72" s="196">
        <f t="shared" si="3"/>
        <v>0</v>
      </c>
      <c r="I72" s="216"/>
      <c r="J72" s="176"/>
    </row>
    <row r="73" spans="1:10" s="7" customFormat="1" x14ac:dyDescent="0.2">
      <c r="A73" s="29" t="s">
        <v>92</v>
      </c>
      <c r="B73" s="71">
        <v>71431</v>
      </c>
      <c r="C73" s="15" t="s">
        <v>314</v>
      </c>
      <c r="D73" s="63">
        <v>1</v>
      </c>
      <c r="E73" s="54" t="s">
        <v>2</v>
      </c>
      <c r="F73" s="196">
        <v>0</v>
      </c>
      <c r="G73" s="196">
        <v>0</v>
      </c>
      <c r="H73" s="196">
        <f t="shared" si="3"/>
        <v>0</v>
      </c>
      <c r="I73" s="216"/>
      <c r="J73" s="176"/>
    </row>
    <row r="74" spans="1:10" s="7" customFormat="1" x14ac:dyDescent="0.2">
      <c r="A74" s="29" t="s">
        <v>93</v>
      </c>
      <c r="B74" s="70">
        <v>71440</v>
      </c>
      <c r="C74" s="15" t="s">
        <v>84</v>
      </c>
      <c r="D74" s="63">
        <v>4</v>
      </c>
      <c r="E74" s="54" t="s">
        <v>2</v>
      </c>
      <c r="F74" s="196">
        <v>0</v>
      </c>
      <c r="G74" s="196">
        <v>0</v>
      </c>
      <c r="H74" s="196">
        <f t="shared" si="3"/>
        <v>0</v>
      </c>
      <c r="I74" s="216"/>
      <c r="J74" s="176"/>
    </row>
    <row r="75" spans="1:10" s="7" customFormat="1" x14ac:dyDescent="0.2">
      <c r="A75" s="29" t="s">
        <v>94</v>
      </c>
      <c r="B75" s="70">
        <v>71441</v>
      </c>
      <c r="C75" s="15" t="s">
        <v>87</v>
      </c>
      <c r="D75" s="63">
        <v>2</v>
      </c>
      <c r="E75" s="54" t="s">
        <v>2</v>
      </c>
      <c r="F75" s="196">
        <v>0</v>
      </c>
      <c r="G75" s="196">
        <v>0</v>
      </c>
      <c r="H75" s="196">
        <f t="shared" si="3"/>
        <v>0</v>
      </c>
      <c r="I75" s="216"/>
      <c r="J75" s="176"/>
    </row>
    <row r="76" spans="1:10" s="7" customFormat="1" x14ac:dyDescent="0.2">
      <c r="A76" s="29" t="s">
        <v>96</v>
      </c>
      <c r="B76" s="70">
        <v>72380</v>
      </c>
      <c r="C76" s="15" t="s">
        <v>317</v>
      </c>
      <c r="D76" s="63">
        <v>1</v>
      </c>
      <c r="E76" s="54" t="s">
        <v>2</v>
      </c>
      <c r="F76" s="196">
        <v>0</v>
      </c>
      <c r="G76" s="196">
        <v>0</v>
      </c>
      <c r="H76" s="196">
        <f t="shared" si="3"/>
        <v>0</v>
      </c>
      <c r="I76" s="216"/>
      <c r="J76" s="176"/>
    </row>
    <row r="77" spans="1:10" s="7" customFormat="1" x14ac:dyDescent="0.2">
      <c r="A77" s="29" t="s">
        <v>241</v>
      </c>
      <c r="B77" s="69">
        <v>72430</v>
      </c>
      <c r="C77" s="15" t="s">
        <v>318</v>
      </c>
      <c r="D77" s="63">
        <v>15</v>
      </c>
      <c r="E77" s="54" t="s">
        <v>2</v>
      </c>
      <c r="F77" s="196">
        <v>0</v>
      </c>
      <c r="G77" s="196">
        <v>0</v>
      </c>
      <c r="H77" s="196">
        <f t="shared" si="3"/>
        <v>0</v>
      </c>
      <c r="I77" s="216"/>
      <c r="J77" s="176"/>
    </row>
    <row r="78" spans="1:10" s="7" customFormat="1" x14ac:dyDescent="0.2">
      <c r="A78" s="29" t="s">
        <v>315</v>
      </c>
      <c r="B78" s="69">
        <v>72435</v>
      </c>
      <c r="C78" s="15" t="s">
        <v>320</v>
      </c>
      <c r="D78" s="63">
        <v>17</v>
      </c>
      <c r="E78" s="54" t="s">
        <v>2</v>
      </c>
      <c r="F78" s="196">
        <v>0</v>
      </c>
      <c r="G78" s="196">
        <v>0</v>
      </c>
      <c r="H78" s="196">
        <f t="shared" si="3"/>
        <v>0</v>
      </c>
      <c r="I78" s="216"/>
      <c r="J78" s="176"/>
    </row>
    <row r="79" spans="1:10" s="7" customFormat="1" x14ac:dyDescent="0.2">
      <c r="A79" s="29" t="s">
        <v>316</v>
      </c>
      <c r="B79" s="69">
        <v>72440</v>
      </c>
      <c r="C79" s="15" t="s">
        <v>321</v>
      </c>
      <c r="D79" s="63">
        <v>25</v>
      </c>
      <c r="E79" s="54" t="s">
        <v>2</v>
      </c>
      <c r="F79" s="196">
        <v>0</v>
      </c>
      <c r="G79" s="196">
        <v>0</v>
      </c>
      <c r="H79" s="196">
        <f t="shared" si="3"/>
        <v>0</v>
      </c>
      <c r="I79" s="216"/>
      <c r="J79" s="176"/>
    </row>
    <row r="80" spans="1:10" s="7" customFormat="1" x14ac:dyDescent="0.2">
      <c r="A80" s="29" t="s">
        <v>319</v>
      </c>
      <c r="B80" s="70">
        <v>71443</v>
      </c>
      <c r="C80" s="15" t="s">
        <v>326</v>
      </c>
      <c r="D80" s="63">
        <v>15</v>
      </c>
      <c r="E80" s="54" t="s">
        <v>2</v>
      </c>
      <c r="F80" s="196">
        <v>0</v>
      </c>
      <c r="G80" s="196">
        <v>0</v>
      </c>
      <c r="H80" s="196">
        <f t="shared" si="3"/>
        <v>0</v>
      </c>
      <c r="I80" s="216"/>
      <c r="J80" s="176"/>
    </row>
    <row r="81" spans="1:10" s="7" customFormat="1" x14ac:dyDescent="0.2">
      <c r="A81" s="29" t="s">
        <v>322</v>
      </c>
      <c r="B81" s="69">
        <v>72579</v>
      </c>
      <c r="C81" s="15" t="s">
        <v>331</v>
      </c>
      <c r="D81" s="63">
        <v>25</v>
      </c>
      <c r="E81" s="54" t="s">
        <v>2</v>
      </c>
      <c r="F81" s="196">
        <v>0</v>
      </c>
      <c r="G81" s="196">
        <v>0</v>
      </c>
      <c r="H81" s="196">
        <f t="shared" si="3"/>
        <v>0</v>
      </c>
      <c r="I81" s="216"/>
      <c r="J81" s="176"/>
    </row>
    <row r="82" spans="1:10" s="7" customFormat="1" x14ac:dyDescent="0.2">
      <c r="A82" s="29" t="s">
        <v>323</v>
      </c>
      <c r="B82" s="98">
        <v>72578</v>
      </c>
      <c r="C82" s="15" t="s">
        <v>95</v>
      </c>
      <c r="D82" s="63">
        <v>13</v>
      </c>
      <c r="E82" s="54" t="s">
        <v>2</v>
      </c>
      <c r="F82" s="196">
        <v>0</v>
      </c>
      <c r="G82" s="196">
        <v>0</v>
      </c>
      <c r="H82" s="196">
        <f t="shared" si="3"/>
        <v>0</v>
      </c>
      <c r="I82" s="216"/>
      <c r="J82" s="176"/>
    </row>
    <row r="83" spans="1:10" s="7" customFormat="1" x14ac:dyDescent="0.2">
      <c r="A83" s="29" t="s">
        <v>93</v>
      </c>
      <c r="B83" s="98">
        <v>72585</v>
      </c>
      <c r="C83" s="124" t="s">
        <v>762</v>
      </c>
      <c r="D83" s="63">
        <v>2</v>
      </c>
      <c r="E83" s="54" t="s">
        <v>2</v>
      </c>
      <c r="F83" s="196">
        <v>0</v>
      </c>
      <c r="G83" s="196">
        <v>0</v>
      </c>
      <c r="H83" s="196">
        <f t="shared" si="3"/>
        <v>0</v>
      </c>
      <c r="I83" s="216"/>
      <c r="J83" s="176"/>
    </row>
    <row r="84" spans="1:10" s="7" customFormat="1" x14ac:dyDescent="0.2">
      <c r="A84" s="29" t="s">
        <v>94</v>
      </c>
      <c r="B84" s="98">
        <v>71411</v>
      </c>
      <c r="C84" s="15" t="s">
        <v>334</v>
      </c>
      <c r="D84" s="63">
        <v>1</v>
      </c>
      <c r="E84" s="54" t="s">
        <v>2</v>
      </c>
      <c r="F84" s="196">
        <v>0</v>
      </c>
      <c r="G84" s="196">
        <v>0</v>
      </c>
      <c r="H84" s="196">
        <f t="shared" si="3"/>
        <v>0</v>
      </c>
      <c r="I84" s="216"/>
      <c r="J84" s="176"/>
    </row>
    <row r="85" spans="1:10" s="7" customFormat="1" x14ac:dyDescent="0.2">
      <c r="A85" s="29" t="s">
        <v>96</v>
      </c>
      <c r="B85" s="98">
        <v>71412</v>
      </c>
      <c r="C85" s="15" t="s">
        <v>336</v>
      </c>
      <c r="D85" s="63">
        <v>5</v>
      </c>
      <c r="E85" s="54" t="s">
        <v>2</v>
      </c>
      <c r="F85" s="196">
        <v>0</v>
      </c>
      <c r="G85" s="196">
        <v>0</v>
      </c>
      <c r="H85" s="196">
        <f t="shared" si="3"/>
        <v>0</v>
      </c>
      <c r="I85" s="216"/>
      <c r="J85" s="176"/>
    </row>
    <row r="86" spans="1:10" s="7" customFormat="1" x14ac:dyDescent="0.2">
      <c r="A86" s="29" t="s">
        <v>241</v>
      </c>
      <c r="B86" s="54">
        <v>72430</v>
      </c>
      <c r="C86" s="15" t="s">
        <v>318</v>
      </c>
      <c r="D86" s="63">
        <v>1</v>
      </c>
      <c r="E86" s="54" t="s">
        <v>2</v>
      </c>
      <c r="F86" s="196">
        <v>0</v>
      </c>
      <c r="G86" s="196">
        <v>0</v>
      </c>
      <c r="H86" s="196">
        <f t="shared" si="3"/>
        <v>0</v>
      </c>
      <c r="I86" s="216"/>
      <c r="J86" s="176"/>
    </row>
    <row r="87" spans="1:10" s="7" customFormat="1" x14ac:dyDescent="0.2">
      <c r="A87" s="29" t="s">
        <v>315</v>
      </c>
      <c r="B87" s="54">
        <v>72435</v>
      </c>
      <c r="C87" s="15" t="s">
        <v>320</v>
      </c>
      <c r="D87" s="63">
        <v>5</v>
      </c>
      <c r="E87" s="54" t="s">
        <v>2</v>
      </c>
      <c r="F87" s="196">
        <v>0</v>
      </c>
      <c r="G87" s="196">
        <v>0</v>
      </c>
      <c r="H87" s="196">
        <f t="shared" si="3"/>
        <v>0</v>
      </c>
      <c r="I87" s="216"/>
      <c r="J87" s="176"/>
    </row>
    <row r="88" spans="1:10" s="7" customFormat="1" x14ac:dyDescent="0.2">
      <c r="A88" s="29" t="s">
        <v>316</v>
      </c>
      <c r="B88" s="98">
        <v>71171</v>
      </c>
      <c r="C88" s="15" t="s">
        <v>86</v>
      </c>
      <c r="D88" s="63">
        <v>28</v>
      </c>
      <c r="E88" s="54" t="s">
        <v>2</v>
      </c>
      <c r="F88" s="196">
        <v>0</v>
      </c>
      <c r="G88" s="196">
        <v>0</v>
      </c>
      <c r="H88" s="196">
        <f t="shared" si="3"/>
        <v>0</v>
      </c>
      <c r="I88" s="216"/>
      <c r="J88" s="176"/>
    </row>
    <row r="89" spans="1:10" s="7" customFormat="1" x14ac:dyDescent="0.2">
      <c r="A89" s="29" t="s">
        <v>319</v>
      </c>
      <c r="B89" s="69">
        <v>71175</v>
      </c>
      <c r="C89" s="15" t="s">
        <v>344</v>
      </c>
      <c r="D89" s="63">
        <v>1</v>
      </c>
      <c r="E89" s="54" t="s">
        <v>2</v>
      </c>
      <c r="F89" s="196">
        <v>0</v>
      </c>
      <c r="G89" s="196">
        <v>0</v>
      </c>
      <c r="H89" s="196">
        <f t="shared" si="3"/>
        <v>0</v>
      </c>
      <c r="I89" s="216"/>
      <c r="J89" s="176"/>
    </row>
    <row r="90" spans="1:10" s="7" customFormat="1" x14ac:dyDescent="0.2">
      <c r="A90" s="29" t="s">
        <v>322</v>
      </c>
      <c r="B90" s="69">
        <v>71184</v>
      </c>
      <c r="C90" s="15" t="s">
        <v>346</v>
      </c>
      <c r="D90" s="63">
        <v>15</v>
      </c>
      <c r="E90" s="54" t="s">
        <v>2</v>
      </c>
      <c r="F90" s="196">
        <v>0</v>
      </c>
      <c r="G90" s="196">
        <v>0</v>
      </c>
      <c r="H90" s="196">
        <f t="shared" si="3"/>
        <v>0</v>
      </c>
      <c r="I90" s="216"/>
      <c r="J90" s="176"/>
    </row>
    <row r="91" spans="1:10" s="7" customFormat="1" x14ac:dyDescent="0.2">
      <c r="A91" s="29" t="s">
        <v>323</v>
      </c>
      <c r="B91" s="69">
        <v>71450</v>
      </c>
      <c r="C91" s="15" t="s">
        <v>348</v>
      </c>
      <c r="D91" s="63">
        <v>11</v>
      </c>
      <c r="E91" s="54" t="s">
        <v>2</v>
      </c>
      <c r="F91" s="196">
        <v>0</v>
      </c>
      <c r="G91" s="196">
        <v>0</v>
      </c>
      <c r="H91" s="196">
        <f t="shared" si="3"/>
        <v>0</v>
      </c>
      <c r="I91" s="216"/>
      <c r="J91" s="176"/>
    </row>
    <row r="92" spans="1:10" s="7" customFormat="1" x14ac:dyDescent="0.2">
      <c r="A92" s="29" t="s">
        <v>93</v>
      </c>
      <c r="B92" s="98">
        <v>71195</v>
      </c>
      <c r="C92" s="15" t="s">
        <v>350</v>
      </c>
      <c r="D92" s="63">
        <v>111.52</v>
      </c>
      <c r="E92" s="54" t="s">
        <v>33</v>
      </c>
      <c r="F92" s="196">
        <v>0</v>
      </c>
      <c r="G92" s="196">
        <v>0</v>
      </c>
      <c r="H92" s="196">
        <f t="shared" si="3"/>
        <v>0</v>
      </c>
      <c r="I92" s="216"/>
      <c r="J92" s="176"/>
    </row>
    <row r="93" spans="1:10" s="7" customFormat="1" x14ac:dyDescent="0.2">
      <c r="A93" s="29" t="s">
        <v>94</v>
      </c>
      <c r="B93" s="98">
        <v>71194</v>
      </c>
      <c r="C93" s="15" t="s">
        <v>81</v>
      </c>
      <c r="D93" s="63">
        <f>387.06 +36.01</f>
        <v>423.07</v>
      </c>
      <c r="E93" s="54" t="s">
        <v>33</v>
      </c>
      <c r="F93" s="196">
        <v>0</v>
      </c>
      <c r="G93" s="196">
        <v>0</v>
      </c>
      <c r="H93" s="196">
        <f t="shared" si="3"/>
        <v>0</v>
      </c>
      <c r="I93" s="216"/>
      <c r="J93" s="176"/>
    </row>
    <row r="94" spans="1:10" s="7" customFormat="1" x14ac:dyDescent="0.2">
      <c r="A94" s="29" t="s">
        <v>96</v>
      </c>
      <c r="B94" s="98">
        <v>71201</v>
      </c>
      <c r="C94" s="15" t="s">
        <v>353</v>
      </c>
      <c r="D94" s="63">
        <f>'Memória de Cálculo'!D136</f>
        <v>46.029999999999994</v>
      </c>
      <c r="E94" s="54" t="s">
        <v>354</v>
      </c>
      <c r="F94" s="196">
        <v>0</v>
      </c>
      <c r="G94" s="196">
        <v>0</v>
      </c>
      <c r="H94" s="196">
        <f t="shared" si="3"/>
        <v>0</v>
      </c>
      <c r="I94" s="216"/>
      <c r="J94" s="176"/>
    </row>
    <row r="95" spans="1:10" s="7" customFormat="1" x14ac:dyDescent="0.2">
      <c r="A95" s="29" t="s">
        <v>241</v>
      </c>
      <c r="B95" s="98">
        <v>71197</v>
      </c>
      <c r="C95" s="15" t="s">
        <v>356</v>
      </c>
      <c r="D95" s="63">
        <f>'Memória de Cálculo'!D137</f>
        <v>37.910000000000004</v>
      </c>
      <c r="E95" s="54" t="s">
        <v>33</v>
      </c>
      <c r="F95" s="196">
        <v>0</v>
      </c>
      <c r="G95" s="196">
        <v>0</v>
      </c>
      <c r="H95" s="196">
        <f t="shared" si="3"/>
        <v>0</v>
      </c>
      <c r="I95" s="216"/>
      <c r="J95" s="176"/>
    </row>
    <row r="96" spans="1:10" s="7" customFormat="1" x14ac:dyDescent="0.2">
      <c r="A96" s="29" t="s">
        <v>315</v>
      </c>
      <c r="B96" s="98">
        <v>71199</v>
      </c>
      <c r="C96" s="124" t="s">
        <v>736</v>
      </c>
      <c r="D96" s="63">
        <f>'Memória de Cálculo'!D140</f>
        <v>54.099999999999994</v>
      </c>
      <c r="E96" s="54" t="s">
        <v>33</v>
      </c>
      <c r="F96" s="196">
        <v>0</v>
      </c>
      <c r="G96" s="196">
        <v>0</v>
      </c>
      <c r="H96" s="196">
        <f t="shared" si="3"/>
        <v>0</v>
      </c>
      <c r="I96" s="216"/>
      <c r="J96" s="176"/>
    </row>
    <row r="97" spans="1:10" s="7" customFormat="1" x14ac:dyDescent="0.2">
      <c r="A97" s="29" t="s">
        <v>316</v>
      </c>
      <c r="B97" s="125">
        <v>70747</v>
      </c>
      <c r="C97" s="15" t="s">
        <v>364</v>
      </c>
      <c r="D97" s="63">
        <v>6</v>
      </c>
      <c r="E97" s="54" t="s">
        <v>2</v>
      </c>
      <c r="F97" s="196">
        <v>0</v>
      </c>
      <c r="G97" s="196">
        <v>0</v>
      </c>
      <c r="H97" s="196">
        <f t="shared" si="3"/>
        <v>0</v>
      </c>
      <c r="I97" s="216"/>
      <c r="J97" s="176"/>
    </row>
    <row r="98" spans="1:10" s="7" customFormat="1" x14ac:dyDescent="0.2">
      <c r="A98" s="29" t="s">
        <v>319</v>
      </c>
      <c r="B98" s="125">
        <v>70748</v>
      </c>
      <c r="C98" s="15" t="s">
        <v>366</v>
      </c>
      <c r="D98" s="63">
        <v>2</v>
      </c>
      <c r="E98" s="54" t="s">
        <v>2</v>
      </c>
      <c r="F98" s="196">
        <v>0</v>
      </c>
      <c r="G98" s="196">
        <v>0</v>
      </c>
      <c r="H98" s="196">
        <f t="shared" si="3"/>
        <v>0</v>
      </c>
      <c r="I98" s="216"/>
      <c r="J98" s="176"/>
    </row>
    <row r="99" spans="1:10" s="7" customFormat="1" x14ac:dyDescent="0.2">
      <c r="A99" s="29" t="s">
        <v>322</v>
      </c>
      <c r="B99" s="98">
        <v>71660</v>
      </c>
      <c r="C99" s="15" t="s">
        <v>368</v>
      </c>
      <c r="D99" s="63">
        <v>4</v>
      </c>
      <c r="E99" s="54" t="s">
        <v>2</v>
      </c>
      <c r="F99" s="196">
        <v>0</v>
      </c>
      <c r="G99" s="196">
        <v>0</v>
      </c>
      <c r="H99" s="196">
        <f t="shared" si="3"/>
        <v>0</v>
      </c>
      <c r="I99" s="216"/>
      <c r="J99" s="176"/>
    </row>
    <row r="100" spans="1:10" s="7" customFormat="1" x14ac:dyDescent="0.2">
      <c r="A100" s="29" t="s">
        <v>323</v>
      </c>
      <c r="B100" s="98">
        <v>72120</v>
      </c>
      <c r="C100" s="15" t="s">
        <v>370</v>
      </c>
      <c r="D100" s="63">
        <v>4</v>
      </c>
      <c r="E100" s="54" t="s">
        <v>2</v>
      </c>
      <c r="F100" s="196">
        <v>0</v>
      </c>
      <c r="G100" s="196">
        <v>0</v>
      </c>
      <c r="H100" s="196">
        <f t="shared" si="3"/>
        <v>0</v>
      </c>
      <c r="I100" s="216"/>
      <c r="J100" s="176"/>
    </row>
    <row r="101" spans="1:10" s="7" customFormat="1" x14ac:dyDescent="0.2">
      <c r="A101" s="29" t="s">
        <v>93</v>
      </c>
      <c r="B101" s="54">
        <v>72238</v>
      </c>
      <c r="C101" s="15" t="s">
        <v>372</v>
      </c>
      <c r="D101" s="63">
        <v>4</v>
      </c>
      <c r="E101" s="54" t="s">
        <v>2</v>
      </c>
      <c r="F101" s="196">
        <v>0</v>
      </c>
      <c r="G101" s="196">
        <v>0</v>
      </c>
      <c r="H101" s="196">
        <f t="shared" si="3"/>
        <v>0</v>
      </c>
      <c r="I101" s="216"/>
      <c r="J101" s="176"/>
    </row>
    <row r="102" spans="1:10" s="7" customFormat="1" x14ac:dyDescent="0.2">
      <c r="A102" s="29" t="s">
        <v>94</v>
      </c>
      <c r="B102" s="54">
        <v>72255</v>
      </c>
      <c r="C102" s="15" t="s">
        <v>374</v>
      </c>
      <c r="D102" s="63">
        <v>6</v>
      </c>
      <c r="E102" s="54" t="s">
        <v>2</v>
      </c>
      <c r="F102" s="196">
        <v>0</v>
      </c>
      <c r="G102" s="196">
        <v>0</v>
      </c>
      <c r="H102" s="196">
        <f t="shared" si="3"/>
        <v>0</v>
      </c>
      <c r="I102" s="216"/>
      <c r="J102" s="176"/>
    </row>
    <row r="103" spans="1:10" s="31" customFormat="1" x14ac:dyDescent="0.2">
      <c r="A103" s="29" t="s">
        <v>96</v>
      </c>
      <c r="B103" s="70">
        <v>72257</v>
      </c>
      <c r="C103" s="15" t="s">
        <v>376</v>
      </c>
      <c r="D103" s="63">
        <v>2</v>
      </c>
      <c r="E103" s="54" t="s">
        <v>2</v>
      </c>
      <c r="F103" s="196">
        <v>0</v>
      </c>
      <c r="G103" s="196">
        <v>0</v>
      </c>
      <c r="H103" s="196">
        <f t="shared" si="3"/>
        <v>0</v>
      </c>
      <c r="I103" s="216"/>
      <c r="J103" s="176"/>
    </row>
    <row r="104" spans="1:10" s="31" customFormat="1" x14ac:dyDescent="0.2">
      <c r="A104" s="29" t="s">
        <v>241</v>
      </c>
      <c r="B104" s="70">
        <v>71680</v>
      </c>
      <c r="C104" s="15" t="s">
        <v>378</v>
      </c>
      <c r="D104" s="63">
        <v>14</v>
      </c>
      <c r="E104" s="54" t="s">
        <v>2</v>
      </c>
      <c r="F104" s="196">
        <v>0</v>
      </c>
      <c r="G104" s="196">
        <v>0</v>
      </c>
      <c r="H104" s="196">
        <f t="shared" si="3"/>
        <v>0</v>
      </c>
      <c r="I104" s="216"/>
      <c r="J104" s="176"/>
    </row>
    <row r="105" spans="1:10" s="31" customFormat="1" x14ac:dyDescent="0.2">
      <c r="A105" s="29" t="s">
        <v>315</v>
      </c>
      <c r="B105" s="70">
        <v>72341</v>
      </c>
      <c r="C105" s="15" t="s">
        <v>380</v>
      </c>
      <c r="D105" s="63">
        <v>32</v>
      </c>
      <c r="E105" s="54" t="s">
        <v>2</v>
      </c>
      <c r="F105" s="196">
        <v>0</v>
      </c>
      <c r="G105" s="196">
        <v>0</v>
      </c>
      <c r="H105" s="196">
        <f t="shared" si="3"/>
        <v>0</v>
      </c>
      <c r="I105" s="216"/>
      <c r="J105" s="176"/>
    </row>
    <row r="106" spans="1:10" s="31" customFormat="1" x14ac:dyDescent="0.2">
      <c r="A106" s="29" t="s">
        <v>316</v>
      </c>
      <c r="B106" s="70">
        <v>72360</v>
      </c>
      <c r="C106" s="15" t="s">
        <v>382</v>
      </c>
      <c r="D106" s="63">
        <v>14</v>
      </c>
      <c r="E106" s="54" t="s">
        <v>2</v>
      </c>
      <c r="F106" s="196">
        <v>0</v>
      </c>
      <c r="G106" s="196">
        <v>0</v>
      </c>
      <c r="H106" s="196">
        <f t="shared" si="3"/>
        <v>0</v>
      </c>
      <c r="I106" s="216"/>
      <c r="J106" s="176"/>
    </row>
    <row r="107" spans="1:10" s="31" customFormat="1" x14ac:dyDescent="0.2">
      <c r="A107" s="29" t="s">
        <v>319</v>
      </c>
      <c r="B107" s="70">
        <v>71527</v>
      </c>
      <c r="C107" s="15" t="s">
        <v>385</v>
      </c>
      <c r="D107" s="63">
        <v>4</v>
      </c>
      <c r="E107" s="54" t="s">
        <v>2</v>
      </c>
      <c r="F107" s="196">
        <v>0</v>
      </c>
      <c r="G107" s="196">
        <v>0</v>
      </c>
      <c r="H107" s="196">
        <f t="shared" si="3"/>
        <v>0</v>
      </c>
      <c r="I107" s="216"/>
      <c r="J107" s="176"/>
    </row>
    <row r="108" spans="1:10" s="31" customFormat="1" x14ac:dyDescent="0.2">
      <c r="A108" s="29" t="s">
        <v>322</v>
      </c>
      <c r="B108" s="70">
        <v>71566</v>
      </c>
      <c r="C108" s="15" t="s">
        <v>386</v>
      </c>
      <c r="D108" s="63">
        <v>36</v>
      </c>
      <c r="E108" s="54" t="s">
        <v>2</v>
      </c>
      <c r="F108" s="196">
        <v>0</v>
      </c>
      <c r="G108" s="196">
        <v>0</v>
      </c>
      <c r="H108" s="196">
        <f t="shared" si="3"/>
        <v>0</v>
      </c>
      <c r="I108" s="216"/>
      <c r="J108" s="176"/>
    </row>
    <row r="109" spans="1:10" s="31" customFormat="1" ht="15" customHeight="1" x14ac:dyDescent="0.2">
      <c r="A109" s="29" t="s">
        <v>323</v>
      </c>
      <c r="B109" s="70">
        <v>71577</v>
      </c>
      <c r="C109" s="15" t="s">
        <v>387</v>
      </c>
      <c r="D109" s="63">
        <v>2</v>
      </c>
      <c r="E109" s="54" t="s">
        <v>2</v>
      </c>
      <c r="F109" s="196">
        <v>0</v>
      </c>
      <c r="G109" s="196">
        <v>0</v>
      </c>
      <c r="H109" s="196">
        <f t="shared" si="3"/>
        <v>0</v>
      </c>
      <c r="I109" s="216"/>
      <c r="J109" s="176"/>
    </row>
    <row r="110" spans="1:10" s="31" customFormat="1" x14ac:dyDescent="0.2">
      <c r="A110" s="29" t="s">
        <v>93</v>
      </c>
      <c r="B110" s="70">
        <v>71564</v>
      </c>
      <c r="C110" s="15" t="s">
        <v>388</v>
      </c>
      <c r="D110" s="63">
        <v>7</v>
      </c>
      <c r="E110" s="54" t="s">
        <v>2</v>
      </c>
      <c r="F110" s="196">
        <v>0</v>
      </c>
      <c r="G110" s="196">
        <v>0</v>
      </c>
      <c r="H110" s="196">
        <f t="shared" si="3"/>
        <v>0</v>
      </c>
      <c r="I110" s="216"/>
      <c r="J110" s="176"/>
    </row>
    <row r="111" spans="1:10" s="31" customFormat="1" x14ac:dyDescent="0.2">
      <c r="A111" s="29" t="s">
        <v>94</v>
      </c>
      <c r="B111" s="70">
        <v>71530</v>
      </c>
      <c r="C111" s="15" t="s">
        <v>389</v>
      </c>
      <c r="D111" s="63">
        <v>20</v>
      </c>
      <c r="E111" s="54" t="s">
        <v>2</v>
      </c>
      <c r="F111" s="196">
        <v>0</v>
      </c>
      <c r="G111" s="196">
        <v>0</v>
      </c>
      <c r="H111" s="196">
        <f t="shared" si="3"/>
        <v>0</v>
      </c>
      <c r="I111" s="216"/>
      <c r="J111" s="176"/>
    </row>
    <row r="112" spans="1:10" s="31" customFormat="1" x14ac:dyDescent="0.2">
      <c r="A112" s="29" t="s">
        <v>96</v>
      </c>
      <c r="B112" s="70">
        <v>71531</v>
      </c>
      <c r="C112" s="15" t="s">
        <v>390</v>
      </c>
      <c r="D112" s="63">
        <v>4</v>
      </c>
      <c r="E112" s="54" t="s">
        <v>2</v>
      </c>
      <c r="F112" s="196">
        <v>0</v>
      </c>
      <c r="G112" s="196">
        <v>0</v>
      </c>
      <c r="H112" s="196">
        <f t="shared" si="3"/>
        <v>0</v>
      </c>
      <c r="I112" s="216"/>
      <c r="J112" s="176"/>
    </row>
    <row r="113" spans="1:10" s="31" customFormat="1" x14ac:dyDescent="0.2">
      <c r="A113" s="29" t="s">
        <v>241</v>
      </c>
      <c r="B113" s="70">
        <v>70233</v>
      </c>
      <c r="C113" s="15" t="s">
        <v>391</v>
      </c>
      <c r="D113" s="105">
        <v>1</v>
      </c>
      <c r="E113" s="54" t="s">
        <v>2</v>
      </c>
      <c r="F113" s="196">
        <v>0</v>
      </c>
      <c r="G113" s="196">
        <v>0</v>
      </c>
      <c r="H113" s="196">
        <f t="shared" si="3"/>
        <v>0</v>
      </c>
      <c r="I113" s="216"/>
      <c r="J113" s="176"/>
    </row>
    <row r="114" spans="1:10" s="31" customFormat="1" x14ac:dyDescent="0.2">
      <c r="A114" s="29" t="s">
        <v>315</v>
      </c>
      <c r="B114" s="70">
        <v>70204</v>
      </c>
      <c r="C114" s="95" t="s">
        <v>392</v>
      </c>
      <c r="D114" s="105">
        <v>1</v>
      </c>
      <c r="E114" s="54" t="s">
        <v>2</v>
      </c>
      <c r="F114" s="196">
        <v>0</v>
      </c>
      <c r="G114" s="196">
        <v>0</v>
      </c>
      <c r="H114" s="196">
        <f t="shared" si="3"/>
        <v>0</v>
      </c>
      <c r="I114" s="216"/>
      <c r="J114" s="176"/>
    </row>
    <row r="115" spans="1:10" s="31" customFormat="1" x14ac:dyDescent="0.2">
      <c r="A115" s="29" t="s">
        <v>316</v>
      </c>
      <c r="B115" s="70">
        <v>70501</v>
      </c>
      <c r="C115" s="15" t="s">
        <v>393</v>
      </c>
      <c r="D115" s="63">
        <v>2</v>
      </c>
      <c r="E115" s="54" t="s">
        <v>2</v>
      </c>
      <c r="F115" s="196">
        <v>0</v>
      </c>
      <c r="G115" s="196">
        <v>0</v>
      </c>
      <c r="H115" s="196">
        <f t="shared" si="3"/>
        <v>0</v>
      </c>
      <c r="I115" s="216"/>
      <c r="J115" s="176"/>
    </row>
    <row r="116" spans="1:10" s="31" customFormat="1" x14ac:dyDescent="0.2">
      <c r="A116" s="29" t="s">
        <v>319</v>
      </c>
      <c r="B116" s="70">
        <v>70920</v>
      </c>
      <c r="C116" s="15" t="s">
        <v>394</v>
      </c>
      <c r="D116" s="63">
        <v>4</v>
      </c>
      <c r="E116" s="54" t="s">
        <v>2</v>
      </c>
      <c r="F116" s="196">
        <v>0</v>
      </c>
      <c r="G116" s="196">
        <v>0</v>
      </c>
      <c r="H116" s="196">
        <f t="shared" si="3"/>
        <v>0</v>
      </c>
      <c r="I116" s="216"/>
      <c r="J116" s="176"/>
    </row>
    <row r="117" spans="1:10" s="31" customFormat="1" x14ac:dyDescent="0.2">
      <c r="A117" s="29" t="s">
        <v>322</v>
      </c>
      <c r="B117" s="70">
        <v>71380</v>
      </c>
      <c r="C117" s="15" t="s">
        <v>83</v>
      </c>
      <c r="D117" s="105">
        <v>1</v>
      </c>
      <c r="E117" s="54" t="s">
        <v>2</v>
      </c>
      <c r="F117" s="196">
        <v>0</v>
      </c>
      <c r="G117" s="196">
        <v>0</v>
      </c>
      <c r="H117" s="196">
        <f t="shared" si="3"/>
        <v>0</v>
      </c>
      <c r="I117" s="216"/>
      <c r="J117" s="176"/>
    </row>
    <row r="118" spans="1:10" s="31" customFormat="1" x14ac:dyDescent="0.2">
      <c r="A118" s="29" t="s">
        <v>323</v>
      </c>
      <c r="B118" s="70">
        <v>71481</v>
      </c>
      <c r="C118" s="15" t="s">
        <v>395</v>
      </c>
      <c r="D118" s="105">
        <v>5</v>
      </c>
      <c r="E118" s="54" t="s">
        <v>2</v>
      </c>
      <c r="F118" s="196">
        <v>0</v>
      </c>
      <c r="G118" s="196">
        <v>0</v>
      </c>
      <c r="H118" s="196">
        <f t="shared" si="3"/>
        <v>0</v>
      </c>
      <c r="I118" s="216"/>
      <c r="J118" s="176"/>
    </row>
    <row r="119" spans="1:10" s="31" customFormat="1" ht="38.25" x14ac:dyDescent="0.2">
      <c r="A119" s="29" t="s">
        <v>93</v>
      </c>
      <c r="B119" s="54">
        <v>71991</v>
      </c>
      <c r="C119" s="15" t="s">
        <v>396</v>
      </c>
      <c r="D119" s="105">
        <v>1</v>
      </c>
      <c r="E119" s="54" t="s">
        <v>2</v>
      </c>
      <c r="F119" s="196">
        <v>0</v>
      </c>
      <c r="G119" s="196">
        <v>0</v>
      </c>
      <c r="H119" s="196">
        <f t="shared" si="3"/>
        <v>0</v>
      </c>
      <c r="I119" s="216"/>
      <c r="J119" s="176"/>
    </row>
    <row r="120" spans="1:10" s="31" customFormat="1" x14ac:dyDescent="0.2">
      <c r="A120" s="29" t="s">
        <v>94</v>
      </c>
      <c r="B120" s="54">
        <v>72170</v>
      </c>
      <c r="C120" s="15" t="s">
        <v>397</v>
      </c>
      <c r="D120" s="105">
        <v>3</v>
      </c>
      <c r="E120" s="54" t="s">
        <v>2</v>
      </c>
      <c r="F120" s="196">
        <v>0</v>
      </c>
      <c r="G120" s="196">
        <v>0</v>
      </c>
      <c r="H120" s="196">
        <f t="shared" si="3"/>
        <v>0</v>
      </c>
      <c r="I120" s="216"/>
      <c r="J120" s="176"/>
    </row>
    <row r="121" spans="1:10" s="31" customFormat="1" x14ac:dyDescent="0.2">
      <c r="A121" s="29" t="s">
        <v>96</v>
      </c>
      <c r="B121" s="54">
        <v>72185</v>
      </c>
      <c r="C121" s="15" t="s">
        <v>763</v>
      </c>
      <c r="D121" s="63">
        <v>1</v>
      </c>
      <c r="E121" s="54" t="s">
        <v>2</v>
      </c>
      <c r="F121" s="196">
        <v>0</v>
      </c>
      <c r="G121" s="196">
        <v>0</v>
      </c>
      <c r="H121" s="196">
        <f t="shared" si="3"/>
        <v>0</v>
      </c>
      <c r="I121" s="216"/>
      <c r="J121" s="176"/>
    </row>
    <row r="122" spans="1:10" s="31" customFormat="1" x14ac:dyDescent="0.2">
      <c r="A122" s="29" t="s">
        <v>241</v>
      </c>
      <c r="B122" s="54">
        <v>70645</v>
      </c>
      <c r="C122" s="15" t="s">
        <v>312</v>
      </c>
      <c r="D122" s="63">
        <v>1</v>
      </c>
      <c r="E122" s="54" t="s">
        <v>2</v>
      </c>
      <c r="F122" s="196">
        <v>0</v>
      </c>
      <c r="G122" s="196">
        <v>0</v>
      </c>
      <c r="H122" s="196">
        <f>D122*(F122+G122)</f>
        <v>0</v>
      </c>
      <c r="I122" s="216"/>
      <c r="J122" s="176"/>
    </row>
    <row r="123" spans="1:10" s="31" customFormat="1" x14ac:dyDescent="0.2">
      <c r="A123" s="29" t="s">
        <v>315</v>
      </c>
      <c r="B123" s="54">
        <v>72556</v>
      </c>
      <c r="C123" s="15" t="s">
        <v>398</v>
      </c>
      <c r="D123" s="105">
        <v>6</v>
      </c>
      <c r="E123" s="54" t="s">
        <v>2</v>
      </c>
      <c r="F123" s="196">
        <v>0</v>
      </c>
      <c r="G123" s="196">
        <v>0</v>
      </c>
      <c r="H123" s="196">
        <f>D123*(F123+G123)</f>
        <v>0</v>
      </c>
      <c r="I123" s="216"/>
      <c r="J123" s="176"/>
    </row>
    <row r="124" spans="1:10" s="31" customFormat="1" x14ac:dyDescent="0.2">
      <c r="A124" s="29" t="s">
        <v>316</v>
      </c>
      <c r="B124" s="54">
        <v>72596</v>
      </c>
      <c r="C124" s="124" t="s">
        <v>761</v>
      </c>
      <c r="D124" s="105">
        <v>2</v>
      </c>
      <c r="E124" s="54" t="s">
        <v>2</v>
      </c>
      <c r="F124" s="196">
        <v>0</v>
      </c>
      <c r="G124" s="196">
        <v>0</v>
      </c>
      <c r="H124" s="196">
        <f>D124*(F124+G124)</f>
        <v>0</v>
      </c>
      <c r="I124" s="216"/>
      <c r="J124" s="176"/>
    </row>
    <row r="125" spans="1:10" s="31" customFormat="1" x14ac:dyDescent="0.2">
      <c r="A125" s="29" t="s">
        <v>319</v>
      </c>
      <c r="B125" s="54">
        <v>72397</v>
      </c>
      <c r="C125" s="124" t="s">
        <v>760</v>
      </c>
      <c r="D125" s="105">
        <v>2</v>
      </c>
      <c r="E125" s="54" t="s">
        <v>2</v>
      </c>
      <c r="F125" s="196">
        <v>0</v>
      </c>
      <c r="G125" s="196">
        <v>0</v>
      </c>
      <c r="H125" s="196">
        <f>D125*(F125+G125)</f>
        <v>0</v>
      </c>
      <c r="I125" s="216"/>
      <c r="J125" s="176"/>
    </row>
    <row r="126" spans="1:10" s="7" customFormat="1" x14ac:dyDescent="0.2">
      <c r="A126" s="29" t="s">
        <v>322</v>
      </c>
      <c r="B126" s="54">
        <v>71764</v>
      </c>
      <c r="C126" s="15" t="s">
        <v>569</v>
      </c>
      <c r="D126" s="105">
        <v>26</v>
      </c>
      <c r="E126" s="54" t="s">
        <v>2</v>
      </c>
      <c r="F126" s="196">
        <v>0</v>
      </c>
      <c r="G126" s="196">
        <v>0</v>
      </c>
      <c r="H126" s="196">
        <f>D126*(F126+G126)</f>
        <v>0</v>
      </c>
      <c r="I126" s="217"/>
      <c r="J126" s="176"/>
    </row>
    <row r="127" spans="1:10" s="7" customFormat="1" x14ac:dyDescent="0.2">
      <c r="A127" s="212" t="s">
        <v>22</v>
      </c>
      <c r="B127" s="213"/>
      <c r="C127" s="213"/>
      <c r="D127" s="213"/>
      <c r="E127" s="213"/>
      <c r="F127" s="213"/>
      <c r="G127" s="214"/>
      <c r="H127" s="110">
        <f>SUM(H58:H126)</f>
        <v>0</v>
      </c>
      <c r="I127" s="197">
        <f>H127+(H127*0.273)</f>
        <v>0</v>
      </c>
      <c r="J127" s="176"/>
    </row>
    <row r="128" spans="1:10" s="7" customFormat="1" x14ac:dyDescent="0.2">
      <c r="A128" s="249" t="s">
        <v>57</v>
      </c>
      <c r="B128" s="250"/>
      <c r="C128" s="250"/>
      <c r="D128" s="250"/>
      <c r="E128" s="250"/>
      <c r="F128" s="250"/>
      <c r="G128" s="250"/>
      <c r="H128" s="250"/>
      <c r="I128" s="251"/>
      <c r="J128" s="176"/>
    </row>
    <row r="129" spans="1:10" s="18" customFormat="1" x14ac:dyDescent="0.2">
      <c r="A129" s="8">
        <v>7</v>
      </c>
      <c r="B129" s="20">
        <v>80000</v>
      </c>
      <c r="C129" s="53" t="s">
        <v>58</v>
      </c>
      <c r="D129" s="106"/>
      <c r="E129" s="103"/>
      <c r="F129" s="111"/>
      <c r="G129" s="111"/>
      <c r="H129" s="112"/>
      <c r="I129" s="44"/>
      <c r="J129" s="176"/>
    </row>
    <row r="130" spans="1:10" s="18" customFormat="1" x14ac:dyDescent="0.2">
      <c r="A130" s="8" t="s">
        <v>99</v>
      </c>
      <c r="B130" s="32">
        <v>80500</v>
      </c>
      <c r="C130" s="263" t="s">
        <v>143</v>
      </c>
      <c r="D130" s="264"/>
      <c r="E130" s="264"/>
      <c r="F130" s="264"/>
      <c r="G130" s="264"/>
      <c r="H130" s="264"/>
      <c r="I130" s="280"/>
      <c r="J130" s="176"/>
    </row>
    <row r="131" spans="1:10" s="18" customFormat="1" ht="15.75" customHeight="1" x14ac:dyDescent="0.2">
      <c r="A131" s="8" t="s">
        <v>100</v>
      </c>
      <c r="B131" s="32">
        <v>80501</v>
      </c>
      <c r="C131" s="53" t="s">
        <v>273</v>
      </c>
      <c r="D131" s="106"/>
      <c r="E131" s="104"/>
      <c r="F131" s="113"/>
      <c r="G131" s="113"/>
      <c r="H131" s="114"/>
      <c r="I131" s="45"/>
      <c r="J131" s="176"/>
    </row>
    <row r="132" spans="1:10" s="18" customFormat="1" x14ac:dyDescent="0.2">
      <c r="A132" s="27" t="s">
        <v>101</v>
      </c>
      <c r="B132" s="28">
        <v>80504</v>
      </c>
      <c r="C132" s="43" t="s">
        <v>285</v>
      </c>
      <c r="D132" s="63">
        <v>5</v>
      </c>
      <c r="E132" s="26" t="s">
        <v>2</v>
      </c>
      <c r="F132" s="196">
        <v>0</v>
      </c>
      <c r="G132" s="196">
        <v>0</v>
      </c>
      <c r="H132" s="196">
        <f t="shared" ref="H132:H137" si="4">D132*(F132+G132)</f>
        <v>0</v>
      </c>
      <c r="I132" s="215"/>
      <c r="J132" s="176"/>
    </row>
    <row r="133" spans="1:10" s="18" customFormat="1" x14ac:dyDescent="0.2">
      <c r="A133" s="27" t="s">
        <v>102</v>
      </c>
      <c r="B133" s="28">
        <v>80510</v>
      </c>
      <c r="C133" s="43" t="s">
        <v>269</v>
      </c>
      <c r="D133" s="63">
        <v>5</v>
      </c>
      <c r="E133" s="26" t="s">
        <v>2</v>
      </c>
      <c r="F133" s="196">
        <v>0</v>
      </c>
      <c r="G133" s="196">
        <v>0</v>
      </c>
      <c r="H133" s="196">
        <f t="shared" si="4"/>
        <v>0</v>
      </c>
      <c r="I133" s="216"/>
      <c r="J133" s="176"/>
    </row>
    <row r="134" spans="1:10" s="18" customFormat="1" x14ac:dyDescent="0.2">
      <c r="A134" s="27" t="s">
        <v>103</v>
      </c>
      <c r="B134" s="28">
        <v>80514</v>
      </c>
      <c r="C134" s="43" t="s">
        <v>274</v>
      </c>
      <c r="D134" s="63">
        <v>5</v>
      </c>
      <c r="E134" s="26" t="s">
        <v>2</v>
      </c>
      <c r="F134" s="196">
        <v>0</v>
      </c>
      <c r="G134" s="196">
        <v>0</v>
      </c>
      <c r="H134" s="196">
        <f t="shared" si="4"/>
        <v>0</v>
      </c>
      <c r="I134" s="216"/>
      <c r="J134" s="176"/>
    </row>
    <row r="135" spans="1:10" s="18" customFormat="1" x14ac:dyDescent="0.2">
      <c r="A135" s="27" t="s">
        <v>104</v>
      </c>
      <c r="B135" s="28">
        <v>80520</v>
      </c>
      <c r="C135" s="43" t="s">
        <v>270</v>
      </c>
      <c r="D135" s="63">
        <v>5</v>
      </c>
      <c r="E135" s="26" t="s">
        <v>271</v>
      </c>
      <c r="F135" s="196">
        <v>0</v>
      </c>
      <c r="G135" s="196">
        <v>0</v>
      </c>
      <c r="H135" s="196">
        <f t="shared" si="4"/>
        <v>0</v>
      </c>
      <c r="I135" s="216"/>
      <c r="J135" s="176"/>
    </row>
    <row r="136" spans="1:10" s="18" customFormat="1" x14ac:dyDescent="0.2">
      <c r="A136" s="27" t="s">
        <v>105</v>
      </c>
      <c r="B136" s="28">
        <v>80525</v>
      </c>
      <c r="C136" s="43" t="s">
        <v>272</v>
      </c>
      <c r="D136" s="63">
        <v>5</v>
      </c>
      <c r="E136" s="26" t="s">
        <v>2</v>
      </c>
      <c r="F136" s="196">
        <v>0</v>
      </c>
      <c r="G136" s="196">
        <v>0</v>
      </c>
      <c r="H136" s="196">
        <f t="shared" si="4"/>
        <v>0</v>
      </c>
      <c r="I136" s="216"/>
      <c r="J136" s="176"/>
    </row>
    <row r="137" spans="1:10" s="34" customFormat="1" x14ac:dyDescent="0.2">
      <c r="A137" s="27" t="s">
        <v>106</v>
      </c>
      <c r="B137" s="42">
        <v>80532</v>
      </c>
      <c r="C137" s="156" t="s">
        <v>764</v>
      </c>
      <c r="D137" s="82">
        <v>5</v>
      </c>
      <c r="E137" s="24" t="s">
        <v>2</v>
      </c>
      <c r="F137" s="196">
        <v>0</v>
      </c>
      <c r="G137" s="196">
        <v>0</v>
      </c>
      <c r="H137" s="196">
        <f t="shared" si="4"/>
        <v>0</v>
      </c>
      <c r="I137" s="216"/>
      <c r="J137" s="176"/>
    </row>
    <row r="138" spans="1:10" s="31" customFormat="1" x14ac:dyDescent="0.2">
      <c r="A138" s="8" t="s">
        <v>100</v>
      </c>
      <c r="B138" s="33">
        <v>80540</v>
      </c>
      <c r="C138" s="224" t="s">
        <v>117</v>
      </c>
      <c r="D138" s="225"/>
      <c r="E138" s="225"/>
      <c r="F138" s="225"/>
      <c r="G138" s="225"/>
      <c r="H138" s="226"/>
      <c r="I138" s="216"/>
      <c r="J138" s="176"/>
    </row>
    <row r="139" spans="1:10" s="31" customFormat="1" x14ac:dyDescent="0.2">
      <c r="A139" s="27" t="s">
        <v>101</v>
      </c>
      <c r="B139" s="28">
        <v>80556</v>
      </c>
      <c r="C139" s="15" t="s">
        <v>114</v>
      </c>
      <c r="D139" s="63">
        <v>11</v>
      </c>
      <c r="E139" s="26" t="s">
        <v>2</v>
      </c>
      <c r="F139" s="196">
        <v>0</v>
      </c>
      <c r="G139" s="196">
        <v>0</v>
      </c>
      <c r="H139" s="196">
        <f>D139*(G139+F139)</f>
        <v>0</v>
      </c>
      <c r="I139" s="216"/>
      <c r="J139" s="176"/>
    </row>
    <row r="140" spans="1:10" s="31" customFormat="1" x14ac:dyDescent="0.2">
      <c r="A140" s="27" t="s">
        <v>102</v>
      </c>
      <c r="B140" s="37">
        <v>80564</v>
      </c>
      <c r="C140" s="157" t="s">
        <v>275</v>
      </c>
      <c r="D140" s="83">
        <v>9</v>
      </c>
      <c r="E140" s="26" t="s">
        <v>2</v>
      </c>
      <c r="F140" s="196">
        <v>0</v>
      </c>
      <c r="G140" s="196">
        <v>0</v>
      </c>
      <c r="H140" s="196">
        <f>D140*(G140+F140)</f>
        <v>0</v>
      </c>
      <c r="I140" s="216"/>
      <c r="J140" s="176"/>
    </row>
    <row r="141" spans="1:10" s="31" customFormat="1" x14ac:dyDescent="0.2">
      <c r="A141" s="27" t="s">
        <v>103</v>
      </c>
      <c r="B141" s="28">
        <v>80570</v>
      </c>
      <c r="C141" s="15" t="s">
        <v>98</v>
      </c>
      <c r="D141" s="63">
        <v>11</v>
      </c>
      <c r="E141" s="26" t="s">
        <v>2</v>
      </c>
      <c r="F141" s="196">
        <v>0</v>
      </c>
      <c r="G141" s="196">
        <v>0</v>
      </c>
      <c r="H141" s="196">
        <f>D141*(G141+F141)</f>
        <v>0</v>
      </c>
      <c r="I141" s="216"/>
      <c r="J141" s="176"/>
    </row>
    <row r="142" spans="1:10" s="31" customFormat="1" x14ac:dyDescent="0.2">
      <c r="A142" s="27" t="s">
        <v>104</v>
      </c>
      <c r="B142" s="28">
        <v>80581</v>
      </c>
      <c r="C142" s="157" t="s">
        <v>276</v>
      </c>
      <c r="D142" s="63">
        <v>11</v>
      </c>
      <c r="E142" s="26" t="s">
        <v>2</v>
      </c>
      <c r="F142" s="196">
        <v>0</v>
      </c>
      <c r="G142" s="196">
        <v>0</v>
      </c>
      <c r="H142" s="196">
        <f>D142*(G142+F142)</f>
        <v>0</v>
      </c>
      <c r="I142" s="216"/>
      <c r="J142" s="176"/>
    </row>
    <row r="143" spans="1:10" s="34" customFormat="1" x14ac:dyDescent="0.2">
      <c r="A143" s="27" t="s">
        <v>105</v>
      </c>
      <c r="B143" s="28">
        <v>80587</v>
      </c>
      <c r="C143" s="15" t="s">
        <v>213</v>
      </c>
      <c r="D143" s="63">
        <v>9</v>
      </c>
      <c r="E143" s="26" t="s">
        <v>2</v>
      </c>
      <c r="F143" s="196">
        <v>0</v>
      </c>
      <c r="G143" s="196">
        <v>0</v>
      </c>
      <c r="H143" s="196">
        <f>D143*(G143+F143)</f>
        <v>0</v>
      </c>
      <c r="I143" s="216"/>
      <c r="J143" s="176"/>
    </row>
    <row r="144" spans="1:10" s="31" customFormat="1" x14ac:dyDescent="0.2">
      <c r="A144" s="8" t="s">
        <v>106</v>
      </c>
      <c r="B144" s="35">
        <v>80650</v>
      </c>
      <c r="C144" s="224" t="s">
        <v>218</v>
      </c>
      <c r="D144" s="225"/>
      <c r="E144" s="225"/>
      <c r="F144" s="225"/>
      <c r="G144" s="225"/>
      <c r="H144" s="226"/>
      <c r="I144" s="216"/>
      <c r="J144" s="176"/>
    </row>
    <row r="145" spans="1:10" s="31" customFormat="1" ht="13.5" customHeight="1" x14ac:dyDescent="0.2">
      <c r="A145" s="27" t="s">
        <v>107</v>
      </c>
      <c r="B145" s="28">
        <v>80656</v>
      </c>
      <c r="C145" s="157" t="s">
        <v>277</v>
      </c>
      <c r="D145" s="63">
        <v>1</v>
      </c>
      <c r="E145" s="26" t="s">
        <v>2</v>
      </c>
      <c r="F145" s="196">
        <v>0</v>
      </c>
      <c r="G145" s="196">
        <v>0</v>
      </c>
      <c r="H145" s="196">
        <f>D145*(G145+F145)</f>
        <v>0</v>
      </c>
      <c r="I145" s="216"/>
      <c r="J145" s="176"/>
    </row>
    <row r="146" spans="1:10" s="31" customFormat="1" x14ac:dyDescent="0.2">
      <c r="A146" s="27" t="s">
        <v>108</v>
      </c>
      <c r="B146" s="28">
        <v>80680</v>
      </c>
      <c r="C146" s="15" t="s">
        <v>245</v>
      </c>
      <c r="D146" s="63">
        <v>1</v>
      </c>
      <c r="E146" s="26" t="s">
        <v>2</v>
      </c>
      <c r="F146" s="196">
        <v>0</v>
      </c>
      <c r="G146" s="196">
        <v>0</v>
      </c>
      <c r="H146" s="196">
        <f>D146*(G146+F146)</f>
        <v>0</v>
      </c>
      <c r="I146" s="216"/>
      <c r="J146" s="176"/>
    </row>
    <row r="147" spans="1:10" s="31" customFormat="1" x14ac:dyDescent="0.2">
      <c r="A147" s="27" t="s">
        <v>109</v>
      </c>
      <c r="B147" s="28">
        <v>80689</v>
      </c>
      <c r="C147" s="15" t="s">
        <v>242</v>
      </c>
      <c r="D147" s="63">
        <v>1</v>
      </c>
      <c r="E147" s="26" t="s">
        <v>2</v>
      </c>
      <c r="F147" s="196">
        <v>0</v>
      </c>
      <c r="G147" s="196">
        <v>0</v>
      </c>
      <c r="H147" s="196">
        <f>D147*(G147+F147)</f>
        <v>0</v>
      </c>
      <c r="I147" s="216"/>
      <c r="J147" s="176"/>
    </row>
    <row r="148" spans="1:10" s="31" customFormat="1" x14ac:dyDescent="0.2">
      <c r="A148" s="27" t="s">
        <v>110</v>
      </c>
      <c r="B148" s="28">
        <v>80672</v>
      </c>
      <c r="C148" s="43" t="s">
        <v>278</v>
      </c>
      <c r="D148" s="63">
        <v>1</v>
      </c>
      <c r="E148" s="26" t="s">
        <v>2</v>
      </c>
      <c r="F148" s="196">
        <v>0</v>
      </c>
      <c r="G148" s="196">
        <v>0</v>
      </c>
      <c r="H148" s="196">
        <f>D148*(G148+F148)</f>
        <v>0</v>
      </c>
      <c r="I148" s="216"/>
      <c r="J148" s="176"/>
    </row>
    <row r="149" spans="1:10" s="31" customFormat="1" x14ac:dyDescent="0.2">
      <c r="A149" s="8" t="s">
        <v>125</v>
      </c>
      <c r="B149" s="35">
        <v>80720</v>
      </c>
      <c r="C149" s="233" t="s">
        <v>279</v>
      </c>
      <c r="D149" s="234"/>
      <c r="E149" s="234"/>
      <c r="F149" s="234"/>
      <c r="G149" s="234"/>
      <c r="H149" s="235"/>
      <c r="I149" s="216"/>
      <c r="J149" s="176"/>
    </row>
    <row r="150" spans="1:10" s="31" customFormat="1" x14ac:dyDescent="0.2">
      <c r="A150" s="27" t="s">
        <v>126</v>
      </c>
      <c r="B150" s="28">
        <v>80721</v>
      </c>
      <c r="C150" s="43" t="s">
        <v>280</v>
      </c>
      <c r="D150" s="63">
        <v>1</v>
      </c>
      <c r="E150" s="26" t="s">
        <v>2</v>
      </c>
      <c r="F150" s="196">
        <v>0</v>
      </c>
      <c r="G150" s="196">
        <v>0</v>
      </c>
      <c r="H150" s="196">
        <f>D150*(F150+I150)</f>
        <v>0</v>
      </c>
      <c r="I150" s="216"/>
      <c r="J150" s="176"/>
    </row>
    <row r="151" spans="1:10" s="31" customFormat="1" x14ac:dyDescent="0.2">
      <c r="A151" s="27" t="s">
        <v>127</v>
      </c>
      <c r="B151" s="28">
        <v>80732</v>
      </c>
      <c r="C151" s="124" t="s">
        <v>765</v>
      </c>
      <c r="D151" s="63">
        <v>1</v>
      </c>
      <c r="E151" s="26" t="s">
        <v>2</v>
      </c>
      <c r="F151" s="196">
        <v>0</v>
      </c>
      <c r="G151" s="196">
        <v>0</v>
      </c>
      <c r="H151" s="196">
        <f>D151*(F151+I151)</f>
        <v>0</v>
      </c>
      <c r="I151" s="216"/>
      <c r="J151" s="176"/>
    </row>
    <row r="152" spans="1:10" s="34" customFormat="1" x14ac:dyDescent="0.2">
      <c r="A152" s="27" t="s">
        <v>128</v>
      </c>
      <c r="B152" s="28">
        <v>80742</v>
      </c>
      <c r="C152" s="43" t="s">
        <v>281</v>
      </c>
      <c r="D152" s="63">
        <v>11</v>
      </c>
      <c r="E152" s="26" t="s">
        <v>2</v>
      </c>
      <c r="F152" s="196">
        <v>0</v>
      </c>
      <c r="G152" s="196">
        <v>0</v>
      </c>
      <c r="H152" s="196">
        <f>D152*(F152+I152)</f>
        <v>0</v>
      </c>
      <c r="I152" s="216"/>
      <c r="J152" s="176"/>
    </row>
    <row r="153" spans="1:10" s="34" customFormat="1" x14ac:dyDescent="0.2">
      <c r="A153" s="8" t="s">
        <v>129</v>
      </c>
      <c r="B153" s="35">
        <v>80800</v>
      </c>
      <c r="C153" s="227" t="s">
        <v>142</v>
      </c>
      <c r="D153" s="228"/>
      <c r="E153" s="228"/>
      <c r="F153" s="228"/>
      <c r="G153" s="228"/>
      <c r="H153" s="229"/>
      <c r="I153" s="216"/>
      <c r="J153" s="176"/>
    </row>
    <row r="154" spans="1:10" s="34" customFormat="1" x14ac:dyDescent="0.2">
      <c r="A154" s="27" t="s">
        <v>130</v>
      </c>
      <c r="B154" s="28">
        <v>80806</v>
      </c>
      <c r="C154" s="124" t="s">
        <v>791</v>
      </c>
      <c r="D154" s="63">
        <v>2</v>
      </c>
      <c r="E154" s="28" t="s">
        <v>2</v>
      </c>
      <c r="F154" s="196">
        <v>0</v>
      </c>
      <c r="G154" s="196">
        <v>0</v>
      </c>
      <c r="H154" s="196">
        <f>D154*(G154+F154)</f>
        <v>0</v>
      </c>
      <c r="I154" s="216"/>
      <c r="J154" s="176"/>
    </row>
    <row r="155" spans="1:10" s="31" customFormat="1" x14ac:dyDescent="0.2">
      <c r="A155" s="27" t="s">
        <v>130</v>
      </c>
      <c r="B155" s="28">
        <v>80803</v>
      </c>
      <c r="C155" s="15" t="s">
        <v>246</v>
      </c>
      <c r="D155" s="63">
        <v>2</v>
      </c>
      <c r="E155" s="26" t="s">
        <v>2</v>
      </c>
      <c r="F155" s="196">
        <v>0</v>
      </c>
      <c r="G155" s="196">
        <v>0</v>
      </c>
      <c r="H155" s="196">
        <f>D155*(G155+F155)</f>
        <v>0</v>
      </c>
      <c r="I155" s="216"/>
      <c r="J155" s="176"/>
    </row>
    <row r="156" spans="1:10" s="31" customFormat="1" x14ac:dyDescent="0.2">
      <c r="A156" s="27" t="s">
        <v>131</v>
      </c>
      <c r="B156" s="28">
        <v>80810</v>
      </c>
      <c r="C156" s="43" t="s">
        <v>248</v>
      </c>
      <c r="D156" s="63">
        <v>2</v>
      </c>
      <c r="E156" s="26" t="s">
        <v>2</v>
      </c>
      <c r="F156" s="196">
        <v>0</v>
      </c>
      <c r="G156" s="196">
        <v>0</v>
      </c>
      <c r="H156" s="196">
        <f>D156*(G156+F156)</f>
        <v>0</v>
      </c>
      <c r="I156" s="216"/>
      <c r="J156" s="176"/>
    </row>
    <row r="157" spans="1:10" s="31" customFormat="1" x14ac:dyDescent="0.2">
      <c r="A157" s="27" t="s">
        <v>132</v>
      </c>
      <c r="B157" s="28">
        <v>80820</v>
      </c>
      <c r="C157" s="43" t="s">
        <v>282</v>
      </c>
      <c r="D157" s="63">
        <v>4</v>
      </c>
      <c r="E157" s="26" t="s">
        <v>2</v>
      </c>
      <c r="F157" s="196">
        <v>0</v>
      </c>
      <c r="G157" s="196">
        <v>0</v>
      </c>
      <c r="H157" s="196">
        <f>D157*(G157+F157)</f>
        <v>0</v>
      </c>
      <c r="I157" s="216"/>
      <c r="J157" s="176"/>
    </row>
    <row r="158" spans="1:10" s="34" customFormat="1" x14ac:dyDescent="0.2">
      <c r="A158" s="27" t="s">
        <v>133</v>
      </c>
      <c r="B158" s="28">
        <v>80831</v>
      </c>
      <c r="C158" s="43" t="s">
        <v>247</v>
      </c>
      <c r="D158" s="63">
        <v>2</v>
      </c>
      <c r="E158" s="26" t="s">
        <v>2</v>
      </c>
      <c r="F158" s="196">
        <v>0</v>
      </c>
      <c r="G158" s="196">
        <v>0</v>
      </c>
      <c r="H158" s="196">
        <f>D158*(G158+F158)</f>
        <v>0</v>
      </c>
      <c r="I158" s="216"/>
      <c r="J158" s="176"/>
    </row>
    <row r="159" spans="1:10" s="31" customFormat="1" x14ac:dyDescent="0.2">
      <c r="A159" s="8" t="s">
        <v>134</v>
      </c>
      <c r="B159" s="35">
        <v>80900</v>
      </c>
      <c r="C159" s="224" t="s">
        <v>116</v>
      </c>
      <c r="D159" s="225"/>
      <c r="E159" s="225"/>
      <c r="F159" s="225"/>
      <c r="G159" s="225"/>
      <c r="H159" s="226"/>
      <c r="I159" s="216"/>
      <c r="J159" s="176"/>
    </row>
    <row r="160" spans="1:10" s="40" customFormat="1" ht="12" customHeight="1" x14ac:dyDescent="0.2">
      <c r="A160" s="27" t="s">
        <v>135</v>
      </c>
      <c r="B160" s="28">
        <v>80902</v>
      </c>
      <c r="C160" s="15" t="s">
        <v>115</v>
      </c>
      <c r="D160" s="63">
        <v>3</v>
      </c>
      <c r="E160" s="26" t="s">
        <v>2</v>
      </c>
      <c r="F160" s="196">
        <v>0</v>
      </c>
      <c r="G160" s="196">
        <v>0</v>
      </c>
      <c r="H160" s="196">
        <f>D160*(G160+F160)</f>
        <v>0</v>
      </c>
      <c r="I160" s="216"/>
      <c r="J160" s="176"/>
    </row>
    <row r="161" spans="1:10" s="31" customFormat="1" x14ac:dyDescent="0.2">
      <c r="A161" s="27" t="s">
        <v>136</v>
      </c>
      <c r="B161" s="28">
        <v>80903</v>
      </c>
      <c r="C161" s="15" t="s">
        <v>249</v>
      </c>
      <c r="D161" s="63">
        <v>4</v>
      </c>
      <c r="E161" s="28" t="s">
        <v>2</v>
      </c>
      <c r="F161" s="196">
        <v>0</v>
      </c>
      <c r="G161" s="196">
        <v>0</v>
      </c>
      <c r="H161" s="196">
        <f>D161*(G161+F161)</f>
        <v>0</v>
      </c>
      <c r="I161" s="216"/>
      <c r="J161" s="176"/>
    </row>
    <row r="162" spans="1:10" s="31" customFormat="1" x14ac:dyDescent="0.2">
      <c r="A162" s="27" t="s">
        <v>157</v>
      </c>
      <c r="B162" s="28">
        <v>80926</v>
      </c>
      <c r="C162" s="15" t="s">
        <v>283</v>
      </c>
      <c r="D162" s="63">
        <v>3</v>
      </c>
      <c r="E162" s="26" t="s">
        <v>2</v>
      </c>
      <c r="F162" s="196">
        <v>0</v>
      </c>
      <c r="G162" s="196">
        <v>0</v>
      </c>
      <c r="H162" s="196">
        <f>D162*(G162+F162)</f>
        <v>0</v>
      </c>
      <c r="I162" s="216"/>
      <c r="J162" s="176"/>
    </row>
    <row r="163" spans="1:10" s="31" customFormat="1" x14ac:dyDescent="0.2">
      <c r="A163" s="27" t="s">
        <v>158</v>
      </c>
      <c r="B163" s="28">
        <v>80927</v>
      </c>
      <c r="C163" s="15" t="s">
        <v>250</v>
      </c>
      <c r="D163" s="63">
        <v>2</v>
      </c>
      <c r="E163" s="26" t="s">
        <v>2</v>
      </c>
      <c r="F163" s="196">
        <v>0</v>
      </c>
      <c r="G163" s="196">
        <v>0</v>
      </c>
      <c r="H163" s="196">
        <f>D163*(G163+F163)</f>
        <v>0</v>
      </c>
      <c r="I163" s="216"/>
      <c r="J163" s="176"/>
    </row>
    <row r="164" spans="1:10" s="31" customFormat="1" x14ac:dyDescent="0.2">
      <c r="A164" s="27" t="s">
        <v>137</v>
      </c>
      <c r="B164" s="28">
        <v>80946</v>
      </c>
      <c r="C164" s="15" t="s">
        <v>251</v>
      </c>
      <c r="D164" s="63">
        <v>1</v>
      </c>
      <c r="E164" s="26" t="s">
        <v>2</v>
      </c>
      <c r="F164" s="196">
        <v>0</v>
      </c>
      <c r="G164" s="196">
        <v>0</v>
      </c>
      <c r="H164" s="196">
        <f>D164*(G164+F164)</f>
        <v>0</v>
      </c>
      <c r="I164" s="216"/>
      <c r="J164" s="176"/>
    </row>
    <row r="165" spans="1:10" s="18" customFormat="1" x14ac:dyDescent="0.2">
      <c r="A165" s="8" t="s">
        <v>138</v>
      </c>
      <c r="B165" s="35">
        <v>81000</v>
      </c>
      <c r="C165" s="224" t="s">
        <v>119</v>
      </c>
      <c r="D165" s="225"/>
      <c r="E165" s="225"/>
      <c r="F165" s="225"/>
      <c r="G165" s="225"/>
      <c r="H165" s="226"/>
      <c r="I165" s="216"/>
      <c r="J165" s="176"/>
    </row>
    <row r="166" spans="1:10" s="7" customFormat="1" x14ac:dyDescent="0.2">
      <c r="A166" s="8" t="s">
        <v>139</v>
      </c>
      <c r="B166" s="20">
        <v>81001</v>
      </c>
      <c r="C166" s="263" t="s">
        <v>120</v>
      </c>
      <c r="D166" s="264"/>
      <c r="E166" s="264"/>
      <c r="F166" s="264"/>
      <c r="G166" s="264"/>
      <c r="H166" s="265"/>
      <c r="I166" s="216"/>
      <c r="J166" s="176"/>
    </row>
    <row r="167" spans="1:10" s="7" customFormat="1" x14ac:dyDescent="0.2">
      <c r="A167" s="27" t="s">
        <v>159</v>
      </c>
      <c r="B167" s="23">
        <v>81003</v>
      </c>
      <c r="C167" s="43" t="s">
        <v>219</v>
      </c>
      <c r="D167" s="68">
        <f>'Memória de Cálculo'!D207</f>
        <v>107.57905000000001</v>
      </c>
      <c r="E167" s="26" t="s">
        <v>33</v>
      </c>
      <c r="F167" s="196">
        <v>0</v>
      </c>
      <c r="G167" s="196">
        <v>0</v>
      </c>
      <c r="H167" s="196">
        <f>D167*(G167+F167)</f>
        <v>0</v>
      </c>
      <c r="I167" s="216"/>
      <c r="J167" s="176"/>
    </row>
    <row r="168" spans="1:10" s="18" customFormat="1" x14ac:dyDescent="0.2">
      <c r="A168" s="27" t="s">
        <v>284</v>
      </c>
      <c r="B168" s="42">
        <v>81004</v>
      </c>
      <c r="C168" s="43" t="s">
        <v>252</v>
      </c>
      <c r="D168" s="82">
        <f>'Memória de Cálculo'!D208</f>
        <v>86.263885000000016</v>
      </c>
      <c r="E168" s="26" t="s">
        <v>33</v>
      </c>
      <c r="F168" s="196">
        <v>0</v>
      </c>
      <c r="G168" s="196">
        <v>0</v>
      </c>
      <c r="H168" s="196">
        <f>D168*(G168+F168)</f>
        <v>0</v>
      </c>
      <c r="I168" s="216"/>
      <c r="J168" s="176"/>
    </row>
    <row r="169" spans="1:10" s="7" customFormat="1" ht="13.5" customHeight="1" x14ac:dyDescent="0.2">
      <c r="A169" s="8" t="s">
        <v>766</v>
      </c>
      <c r="B169" s="33">
        <v>81040</v>
      </c>
      <c r="C169" s="224" t="s">
        <v>121</v>
      </c>
      <c r="D169" s="225"/>
      <c r="E169" s="225"/>
      <c r="F169" s="225"/>
      <c r="G169" s="225"/>
      <c r="H169" s="226"/>
      <c r="I169" s="216"/>
      <c r="J169" s="176"/>
    </row>
    <row r="170" spans="1:10" s="7" customFormat="1" x14ac:dyDescent="0.2">
      <c r="A170" s="27" t="s">
        <v>767</v>
      </c>
      <c r="B170" s="37">
        <v>81041</v>
      </c>
      <c r="C170" s="43" t="s">
        <v>253</v>
      </c>
      <c r="D170" s="83">
        <v>2</v>
      </c>
      <c r="E170" s="36" t="s">
        <v>2</v>
      </c>
      <c r="F170" s="196">
        <v>0</v>
      </c>
      <c r="G170" s="196">
        <v>0</v>
      </c>
      <c r="H170" s="199">
        <f>D170*(G170+F170)</f>
        <v>0</v>
      </c>
      <c r="I170" s="216"/>
      <c r="J170" s="176"/>
    </row>
    <row r="171" spans="1:10" s="7" customFormat="1" x14ac:dyDescent="0.2">
      <c r="A171" s="27" t="s">
        <v>768</v>
      </c>
      <c r="B171" s="37">
        <v>81056</v>
      </c>
      <c r="C171" s="43" t="s">
        <v>255</v>
      </c>
      <c r="D171" s="83">
        <v>1</v>
      </c>
      <c r="E171" s="36" t="s">
        <v>2</v>
      </c>
      <c r="F171" s="196">
        <v>0</v>
      </c>
      <c r="G171" s="196">
        <v>0</v>
      </c>
      <c r="H171" s="199">
        <f>D171*(G171+F171)</f>
        <v>0</v>
      </c>
      <c r="I171" s="216"/>
      <c r="J171" s="176"/>
    </row>
    <row r="172" spans="1:10" s="7" customFormat="1" x14ac:dyDescent="0.2">
      <c r="A172" s="27" t="s">
        <v>769</v>
      </c>
      <c r="B172" s="37">
        <v>81066</v>
      </c>
      <c r="C172" s="43" t="s">
        <v>254</v>
      </c>
      <c r="D172" s="83">
        <v>18</v>
      </c>
      <c r="E172" s="36" t="s">
        <v>2</v>
      </c>
      <c r="F172" s="196">
        <v>0</v>
      </c>
      <c r="G172" s="196">
        <v>0</v>
      </c>
      <c r="H172" s="199">
        <f>D172*(G172+F172)</f>
        <v>0</v>
      </c>
      <c r="I172" s="216"/>
      <c r="J172" s="176"/>
    </row>
    <row r="173" spans="1:10" s="18" customFormat="1" x14ac:dyDescent="0.2">
      <c r="A173" s="27" t="s">
        <v>160</v>
      </c>
      <c r="B173" s="37">
        <v>81067</v>
      </c>
      <c r="C173" s="43" t="s">
        <v>256</v>
      </c>
      <c r="D173" s="83">
        <v>13</v>
      </c>
      <c r="E173" s="36" t="s">
        <v>2</v>
      </c>
      <c r="F173" s="196">
        <v>0</v>
      </c>
      <c r="G173" s="196">
        <v>0</v>
      </c>
      <c r="H173" s="199">
        <f>D173*(G173+F173)</f>
        <v>0</v>
      </c>
      <c r="I173" s="216"/>
      <c r="J173" s="176"/>
    </row>
    <row r="174" spans="1:10" s="7" customFormat="1" x14ac:dyDescent="0.2">
      <c r="A174" s="8" t="s">
        <v>161</v>
      </c>
      <c r="B174" s="20">
        <v>81100</v>
      </c>
      <c r="C174" s="263" t="s">
        <v>122</v>
      </c>
      <c r="D174" s="264"/>
      <c r="E174" s="264"/>
      <c r="F174" s="264"/>
      <c r="G174" s="264"/>
      <c r="H174" s="265"/>
      <c r="I174" s="216"/>
      <c r="J174" s="176"/>
    </row>
    <row r="175" spans="1:10" s="7" customFormat="1" x14ac:dyDescent="0.2">
      <c r="A175" s="27" t="s">
        <v>162</v>
      </c>
      <c r="B175" s="42">
        <v>81102</v>
      </c>
      <c r="C175" s="47" t="s">
        <v>123</v>
      </c>
      <c r="D175" s="82">
        <v>16</v>
      </c>
      <c r="E175" s="36" t="s">
        <v>2</v>
      </c>
      <c r="F175" s="196">
        <v>0</v>
      </c>
      <c r="G175" s="196">
        <v>0</v>
      </c>
      <c r="H175" s="199">
        <f>D175*(G175+F175)</f>
        <v>0</v>
      </c>
      <c r="I175" s="216"/>
      <c r="J175" s="176"/>
    </row>
    <row r="176" spans="1:10" s="7" customFormat="1" x14ac:dyDescent="0.2">
      <c r="A176" s="27" t="s">
        <v>163</v>
      </c>
      <c r="B176" s="42">
        <v>81103</v>
      </c>
      <c r="C176" s="43" t="s">
        <v>257</v>
      </c>
      <c r="D176" s="82">
        <v>3</v>
      </c>
      <c r="E176" s="36" t="s">
        <v>2</v>
      </c>
      <c r="F176" s="196">
        <v>0</v>
      </c>
      <c r="G176" s="196">
        <v>0</v>
      </c>
      <c r="H176" s="199">
        <f>D176*(G176+F176)</f>
        <v>0</v>
      </c>
      <c r="I176" s="216"/>
      <c r="J176" s="176"/>
    </row>
    <row r="177" spans="1:10" s="7" customFormat="1" x14ac:dyDescent="0.2">
      <c r="A177" s="27" t="s">
        <v>164</v>
      </c>
      <c r="B177" s="42">
        <v>81122</v>
      </c>
      <c r="C177" s="43" t="s">
        <v>258</v>
      </c>
      <c r="D177" s="82">
        <v>7</v>
      </c>
      <c r="E177" s="36" t="s">
        <v>2</v>
      </c>
      <c r="F177" s="196">
        <v>0</v>
      </c>
      <c r="G177" s="196">
        <v>0</v>
      </c>
      <c r="H177" s="199">
        <f>D177*(G177+F177)</f>
        <v>0</v>
      </c>
      <c r="I177" s="216"/>
      <c r="J177" s="176"/>
    </row>
    <row r="178" spans="1:10" s="18" customFormat="1" x14ac:dyDescent="0.2">
      <c r="A178" s="27" t="s">
        <v>165</v>
      </c>
      <c r="B178" s="42">
        <v>81131</v>
      </c>
      <c r="C178" s="158" t="s">
        <v>259</v>
      </c>
      <c r="D178" s="82">
        <v>1</v>
      </c>
      <c r="E178" s="36" t="s">
        <v>2</v>
      </c>
      <c r="F178" s="196">
        <v>0</v>
      </c>
      <c r="G178" s="196">
        <v>0</v>
      </c>
      <c r="H178" s="199">
        <f>D178*(G178+F178)</f>
        <v>0</v>
      </c>
      <c r="I178" s="216"/>
      <c r="J178" s="176"/>
    </row>
    <row r="179" spans="1:10" s="31" customFormat="1" x14ac:dyDescent="0.2">
      <c r="A179" s="8" t="s">
        <v>166</v>
      </c>
      <c r="B179" s="20">
        <v>81300</v>
      </c>
      <c r="C179" s="128" t="s">
        <v>124</v>
      </c>
      <c r="D179" s="129"/>
      <c r="E179" s="129"/>
      <c r="F179" s="129"/>
      <c r="G179" s="129"/>
      <c r="H179" s="130"/>
      <c r="I179" s="216"/>
      <c r="J179" s="176"/>
    </row>
    <row r="180" spans="1:10" s="31" customFormat="1" x14ac:dyDescent="0.2">
      <c r="A180" s="27" t="s">
        <v>167</v>
      </c>
      <c r="B180" s="28">
        <v>81321</v>
      </c>
      <c r="C180" s="15" t="s">
        <v>144</v>
      </c>
      <c r="D180" s="63">
        <v>29</v>
      </c>
      <c r="E180" s="36" t="s">
        <v>2</v>
      </c>
      <c r="F180" s="196">
        <v>0</v>
      </c>
      <c r="G180" s="196">
        <v>0</v>
      </c>
      <c r="H180" s="199">
        <f>D180*(G180+F180)</f>
        <v>0</v>
      </c>
      <c r="I180" s="216"/>
      <c r="J180" s="176"/>
    </row>
    <row r="181" spans="1:10" s="31" customFormat="1" x14ac:dyDescent="0.2">
      <c r="A181" s="27" t="s">
        <v>168</v>
      </c>
      <c r="B181" s="37">
        <v>81322</v>
      </c>
      <c r="C181" s="15" t="s">
        <v>260</v>
      </c>
      <c r="D181" s="83">
        <v>12</v>
      </c>
      <c r="E181" s="36" t="s">
        <v>2</v>
      </c>
      <c r="F181" s="196">
        <v>0</v>
      </c>
      <c r="G181" s="196">
        <v>0</v>
      </c>
      <c r="H181" s="199">
        <f>D181*(G181+F181)</f>
        <v>0</v>
      </c>
      <c r="I181" s="216"/>
      <c r="J181" s="176"/>
    </row>
    <row r="182" spans="1:10" s="31" customFormat="1" x14ac:dyDescent="0.2">
      <c r="A182" s="27" t="s">
        <v>169</v>
      </c>
      <c r="B182" s="37">
        <v>81360</v>
      </c>
      <c r="C182" s="43" t="s">
        <v>261</v>
      </c>
      <c r="D182" s="83">
        <v>5</v>
      </c>
      <c r="E182" s="36" t="s">
        <v>2</v>
      </c>
      <c r="F182" s="196">
        <v>0</v>
      </c>
      <c r="G182" s="196">
        <v>0</v>
      </c>
      <c r="H182" s="199">
        <f>D182*(G182+F182)</f>
        <v>0</v>
      </c>
      <c r="I182" s="216"/>
      <c r="J182" s="176"/>
    </row>
    <row r="183" spans="1:10" s="31" customFormat="1" x14ac:dyDescent="0.2">
      <c r="A183" s="27" t="s">
        <v>170</v>
      </c>
      <c r="B183" s="37">
        <v>81340</v>
      </c>
      <c r="C183" s="43" t="s">
        <v>263</v>
      </c>
      <c r="D183" s="83">
        <v>5</v>
      </c>
      <c r="E183" s="36" t="s">
        <v>2</v>
      </c>
      <c r="F183" s="196">
        <v>0</v>
      </c>
      <c r="G183" s="196">
        <v>0</v>
      </c>
      <c r="H183" s="199">
        <f>D183*(G183+F183)</f>
        <v>0</v>
      </c>
      <c r="I183" s="216"/>
      <c r="J183" s="176"/>
    </row>
    <row r="184" spans="1:10" s="18" customFormat="1" x14ac:dyDescent="0.2">
      <c r="A184" s="27" t="s">
        <v>171</v>
      </c>
      <c r="B184" s="37">
        <v>81369</v>
      </c>
      <c r="C184" s="158" t="s">
        <v>262</v>
      </c>
      <c r="D184" s="83">
        <v>13</v>
      </c>
      <c r="E184" s="36" t="s">
        <v>2</v>
      </c>
      <c r="F184" s="196">
        <v>0</v>
      </c>
      <c r="G184" s="196">
        <v>0</v>
      </c>
      <c r="H184" s="199">
        <f>D184*(G184+F184)</f>
        <v>0</v>
      </c>
      <c r="I184" s="216"/>
      <c r="J184" s="176"/>
    </row>
    <row r="185" spans="1:10" s="7" customFormat="1" x14ac:dyDescent="0.2">
      <c r="A185" s="8" t="s">
        <v>173</v>
      </c>
      <c r="B185" s="20">
        <v>81400</v>
      </c>
      <c r="C185" s="154" t="s">
        <v>140</v>
      </c>
      <c r="D185" s="155"/>
      <c r="E185" s="155"/>
      <c r="F185" s="155"/>
      <c r="G185" s="155"/>
      <c r="H185" s="159"/>
      <c r="I185" s="216"/>
      <c r="J185" s="176"/>
    </row>
    <row r="186" spans="1:10" s="7" customFormat="1" x14ac:dyDescent="0.2">
      <c r="A186" s="27" t="s">
        <v>174</v>
      </c>
      <c r="B186" s="23">
        <v>81402</v>
      </c>
      <c r="C186" s="43" t="s">
        <v>264</v>
      </c>
      <c r="D186" s="68">
        <v>13</v>
      </c>
      <c r="E186" s="36" t="s">
        <v>2</v>
      </c>
      <c r="F186" s="196">
        <v>0</v>
      </c>
      <c r="G186" s="196">
        <v>0</v>
      </c>
      <c r="H186" s="199">
        <f>D186*(G186+F186)</f>
        <v>0</v>
      </c>
      <c r="I186" s="216"/>
      <c r="J186" s="176"/>
    </row>
    <row r="187" spans="1:10" s="7" customFormat="1" x14ac:dyDescent="0.2">
      <c r="A187" s="27" t="s">
        <v>175</v>
      </c>
      <c r="B187" s="23">
        <v>81403</v>
      </c>
      <c r="C187" s="43" t="s">
        <v>265</v>
      </c>
      <c r="D187" s="68">
        <v>10</v>
      </c>
      <c r="E187" s="36" t="s">
        <v>2</v>
      </c>
      <c r="F187" s="196">
        <v>0</v>
      </c>
      <c r="G187" s="196">
        <v>0</v>
      </c>
      <c r="H187" s="199">
        <f>D187*(G187+F187)</f>
        <v>0</v>
      </c>
      <c r="I187" s="216"/>
      <c r="J187" s="176"/>
    </row>
    <row r="188" spans="1:10" s="7" customFormat="1" x14ac:dyDescent="0.2">
      <c r="A188" s="27" t="s">
        <v>176</v>
      </c>
      <c r="B188" s="23">
        <v>81421</v>
      </c>
      <c r="C188" s="43" t="s">
        <v>266</v>
      </c>
      <c r="D188" s="68">
        <v>10</v>
      </c>
      <c r="E188" s="36" t="s">
        <v>2</v>
      </c>
      <c r="F188" s="196">
        <v>0</v>
      </c>
      <c r="G188" s="196">
        <v>0</v>
      </c>
      <c r="H188" s="199">
        <f>D188*(G188+F188)</f>
        <v>0</v>
      </c>
      <c r="I188" s="216"/>
      <c r="J188" s="176"/>
    </row>
    <row r="189" spans="1:10" s="7" customFormat="1" x14ac:dyDescent="0.2">
      <c r="A189" s="8" t="s">
        <v>177</v>
      </c>
      <c r="B189" s="20">
        <v>81535</v>
      </c>
      <c r="C189" s="128" t="s">
        <v>267</v>
      </c>
      <c r="D189" s="129"/>
      <c r="E189" s="129"/>
      <c r="F189" s="129"/>
      <c r="G189" s="129"/>
      <c r="H189" s="130"/>
      <c r="I189" s="216"/>
      <c r="J189" s="176"/>
    </row>
    <row r="190" spans="1:10" s="18" customFormat="1" x14ac:dyDescent="0.2">
      <c r="A190" s="27" t="s">
        <v>582</v>
      </c>
      <c r="B190" s="23">
        <v>81538</v>
      </c>
      <c r="C190" s="43" t="s">
        <v>268</v>
      </c>
      <c r="D190" s="68">
        <v>17</v>
      </c>
      <c r="E190" s="36" t="s">
        <v>2</v>
      </c>
      <c r="F190" s="196">
        <v>0</v>
      </c>
      <c r="G190" s="196">
        <v>0</v>
      </c>
      <c r="H190" s="199">
        <f>D190*(F190+G190)</f>
        <v>0</v>
      </c>
      <c r="I190" s="216"/>
      <c r="J190" s="176"/>
    </row>
    <row r="191" spans="1:10" s="7" customFormat="1" x14ac:dyDescent="0.2">
      <c r="A191" s="8" t="s">
        <v>770</v>
      </c>
      <c r="B191" s="20">
        <v>81500</v>
      </c>
      <c r="C191" s="128" t="s">
        <v>145</v>
      </c>
      <c r="D191" s="129"/>
      <c r="E191" s="129"/>
      <c r="F191" s="129"/>
      <c r="G191" s="129"/>
      <c r="H191" s="130"/>
      <c r="I191" s="216"/>
      <c r="J191" s="176"/>
    </row>
    <row r="192" spans="1:10" s="18" customFormat="1" x14ac:dyDescent="0.2">
      <c r="A192" s="27" t="s">
        <v>771</v>
      </c>
      <c r="B192" s="23">
        <v>81502</v>
      </c>
      <c r="C192" s="43" t="s">
        <v>146</v>
      </c>
      <c r="D192" s="68">
        <v>4</v>
      </c>
      <c r="E192" s="36" t="s">
        <v>2</v>
      </c>
      <c r="F192" s="199">
        <v>0</v>
      </c>
      <c r="G192" s="199">
        <v>0</v>
      </c>
      <c r="H192" s="199">
        <f>D192*(G192+F192)</f>
        <v>0</v>
      </c>
      <c r="I192" s="216"/>
      <c r="J192" s="176"/>
    </row>
    <row r="193" spans="1:10" s="34" customFormat="1" x14ac:dyDescent="0.2">
      <c r="A193" s="8" t="s">
        <v>772</v>
      </c>
      <c r="B193" s="20">
        <v>81600</v>
      </c>
      <c r="C193" s="120" t="s">
        <v>151</v>
      </c>
      <c r="D193" s="120"/>
      <c r="E193" s="120"/>
      <c r="F193" s="120"/>
      <c r="G193" s="120"/>
      <c r="H193" s="120"/>
      <c r="I193" s="216"/>
      <c r="J193" s="176"/>
    </row>
    <row r="194" spans="1:10" s="34" customFormat="1" x14ac:dyDescent="0.2">
      <c r="A194" s="8" t="s">
        <v>773</v>
      </c>
      <c r="B194" s="20">
        <v>81660</v>
      </c>
      <c r="C194" s="132" t="s">
        <v>792</v>
      </c>
      <c r="D194" s="46"/>
      <c r="E194" s="46"/>
      <c r="F194" s="46"/>
      <c r="G194" s="46"/>
      <c r="H194" s="46"/>
      <c r="I194" s="216"/>
      <c r="J194" s="176"/>
    </row>
    <row r="195" spans="1:10" s="34" customFormat="1" x14ac:dyDescent="0.2">
      <c r="A195" s="27" t="s">
        <v>774</v>
      </c>
      <c r="B195" s="23">
        <v>81661</v>
      </c>
      <c r="C195" s="124" t="s">
        <v>793</v>
      </c>
      <c r="D195" s="68">
        <v>2</v>
      </c>
      <c r="E195" s="68" t="s">
        <v>2</v>
      </c>
      <c r="F195" s="196">
        <v>0</v>
      </c>
      <c r="G195" s="196">
        <v>0</v>
      </c>
      <c r="H195" s="196">
        <f>D195*(G195+F195)</f>
        <v>0</v>
      </c>
      <c r="I195" s="216"/>
      <c r="J195" s="176"/>
    </row>
    <row r="196" spans="1:10" s="34" customFormat="1" x14ac:dyDescent="0.2">
      <c r="A196" s="27" t="s">
        <v>775</v>
      </c>
      <c r="B196" s="23">
        <v>81663</v>
      </c>
      <c r="C196" s="124" t="s">
        <v>795</v>
      </c>
      <c r="D196" s="68">
        <v>1</v>
      </c>
      <c r="E196" s="68" t="s">
        <v>2</v>
      </c>
      <c r="F196" s="196">
        <v>0</v>
      </c>
      <c r="G196" s="196">
        <v>0</v>
      </c>
      <c r="H196" s="196">
        <f>D196*(G196+F196)</f>
        <v>0</v>
      </c>
      <c r="I196" s="216"/>
      <c r="J196" s="176"/>
    </row>
    <row r="197" spans="1:10" s="34" customFormat="1" x14ac:dyDescent="0.2">
      <c r="A197" s="27" t="s">
        <v>776</v>
      </c>
      <c r="B197" s="23">
        <v>81664</v>
      </c>
      <c r="C197" s="124" t="s">
        <v>796</v>
      </c>
      <c r="D197" s="68">
        <v>3</v>
      </c>
      <c r="E197" s="68" t="s">
        <v>2</v>
      </c>
      <c r="F197" s="196">
        <v>0</v>
      </c>
      <c r="G197" s="196">
        <v>0</v>
      </c>
      <c r="H197" s="196">
        <f>D197*(G197+F197)</f>
        <v>0</v>
      </c>
      <c r="I197" s="216"/>
      <c r="J197" s="176"/>
    </row>
    <row r="198" spans="1:10" s="34" customFormat="1" x14ac:dyDescent="0.2">
      <c r="A198" s="27" t="s">
        <v>777</v>
      </c>
      <c r="B198" s="23">
        <v>81691</v>
      </c>
      <c r="C198" s="124" t="s">
        <v>794</v>
      </c>
      <c r="D198" s="68">
        <v>13</v>
      </c>
      <c r="E198" s="68" t="s">
        <v>2</v>
      </c>
      <c r="F198" s="196">
        <v>0</v>
      </c>
      <c r="G198" s="196">
        <v>0</v>
      </c>
      <c r="H198" s="196">
        <f>D198*(G198+F198)</f>
        <v>0</v>
      </c>
      <c r="I198" s="216"/>
      <c r="J198" s="176"/>
    </row>
    <row r="199" spans="1:10" s="34" customFormat="1" x14ac:dyDescent="0.2">
      <c r="A199" s="27" t="s">
        <v>778</v>
      </c>
      <c r="B199" s="23">
        <v>81700</v>
      </c>
      <c r="C199" s="124" t="s">
        <v>815</v>
      </c>
      <c r="D199" s="68"/>
      <c r="E199" s="68"/>
      <c r="F199" s="196"/>
      <c r="G199" s="196"/>
      <c r="H199" s="196"/>
      <c r="I199" s="216"/>
      <c r="J199" s="176"/>
    </row>
    <row r="200" spans="1:10" s="34" customFormat="1" x14ac:dyDescent="0.2">
      <c r="A200" s="27" t="s">
        <v>779</v>
      </c>
      <c r="B200" s="23">
        <v>81701</v>
      </c>
      <c r="C200" s="124" t="s">
        <v>819</v>
      </c>
      <c r="D200" s="68">
        <v>17</v>
      </c>
      <c r="E200" s="68" t="s">
        <v>2</v>
      </c>
      <c r="F200" s="196">
        <v>0</v>
      </c>
      <c r="G200" s="196">
        <v>0</v>
      </c>
      <c r="H200" s="196">
        <f>D200*(G200+F200)</f>
        <v>0</v>
      </c>
      <c r="I200" s="216"/>
      <c r="J200" s="176"/>
    </row>
    <row r="201" spans="1:10" s="34" customFormat="1" x14ac:dyDescent="0.2">
      <c r="A201" s="27" t="s">
        <v>780</v>
      </c>
      <c r="B201" s="23">
        <v>81550</v>
      </c>
      <c r="C201" s="124" t="s">
        <v>816</v>
      </c>
      <c r="D201" s="68">
        <v>7</v>
      </c>
      <c r="E201" s="68" t="s">
        <v>2</v>
      </c>
      <c r="F201" s="196">
        <v>0</v>
      </c>
      <c r="G201" s="196">
        <v>0</v>
      </c>
      <c r="H201" s="196">
        <f t="shared" ref="H201:H206" si="5">D201*(G201+F201)</f>
        <v>0</v>
      </c>
      <c r="I201" s="216"/>
      <c r="J201" s="176"/>
    </row>
    <row r="202" spans="1:10" s="34" customFormat="1" x14ac:dyDescent="0.2">
      <c r="A202" s="27" t="s">
        <v>781</v>
      </c>
      <c r="B202" s="23">
        <v>81551</v>
      </c>
      <c r="C202" s="124" t="s">
        <v>817</v>
      </c>
      <c r="D202" s="68">
        <v>2</v>
      </c>
      <c r="E202" s="68" t="s">
        <v>2</v>
      </c>
      <c r="F202" s="196">
        <v>0</v>
      </c>
      <c r="G202" s="196">
        <v>0</v>
      </c>
      <c r="H202" s="196">
        <f t="shared" si="5"/>
        <v>0</v>
      </c>
      <c r="I202" s="216"/>
      <c r="J202" s="176"/>
    </row>
    <row r="203" spans="1:10" s="34" customFormat="1" x14ac:dyDescent="0.2">
      <c r="A203" s="27" t="s">
        <v>782</v>
      </c>
      <c r="B203" s="23">
        <v>81702</v>
      </c>
      <c r="C203" s="124" t="s">
        <v>818</v>
      </c>
      <c r="D203" s="68">
        <v>2</v>
      </c>
      <c r="E203" s="68" t="s">
        <v>2</v>
      </c>
      <c r="F203" s="196">
        <v>0</v>
      </c>
      <c r="G203" s="196">
        <v>0</v>
      </c>
      <c r="H203" s="196">
        <f t="shared" si="5"/>
        <v>0</v>
      </c>
      <c r="I203" s="216"/>
      <c r="J203" s="176"/>
    </row>
    <row r="204" spans="1:10" s="34" customFormat="1" x14ac:dyDescent="0.2">
      <c r="A204" s="27" t="s">
        <v>783</v>
      </c>
      <c r="B204" s="23">
        <v>81730</v>
      </c>
      <c r="C204" s="124" t="s">
        <v>820</v>
      </c>
      <c r="D204" s="68">
        <v>14</v>
      </c>
      <c r="E204" s="68" t="s">
        <v>2</v>
      </c>
      <c r="F204" s="196">
        <v>0</v>
      </c>
      <c r="G204" s="196">
        <v>0</v>
      </c>
      <c r="H204" s="196">
        <f t="shared" si="5"/>
        <v>0</v>
      </c>
      <c r="I204" s="216"/>
      <c r="J204" s="176"/>
    </row>
    <row r="205" spans="1:10" s="34" customFormat="1" x14ac:dyDescent="0.2">
      <c r="A205" s="27" t="s">
        <v>784</v>
      </c>
      <c r="B205" s="23">
        <v>81733</v>
      </c>
      <c r="C205" s="124" t="s">
        <v>821</v>
      </c>
      <c r="D205" s="68">
        <v>3</v>
      </c>
      <c r="E205" s="68" t="s">
        <v>2</v>
      </c>
      <c r="F205" s="196">
        <v>0</v>
      </c>
      <c r="G205" s="196">
        <v>0</v>
      </c>
      <c r="H205" s="196">
        <f t="shared" si="5"/>
        <v>0</v>
      </c>
      <c r="I205" s="216"/>
      <c r="J205" s="176"/>
    </row>
    <row r="206" spans="1:10" s="34" customFormat="1" x14ac:dyDescent="0.2">
      <c r="A206" s="27" t="s">
        <v>785</v>
      </c>
      <c r="B206" s="23">
        <v>81736</v>
      </c>
      <c r="C206" s="124" t="s">
        <v>827</v>
      </c>
      <c r="D206" s="68">
        <v>5</v>
      </c>
      <c r="E206" s="68" t="s">
        <v>2</v>
      </c>
      <c r="F206" s="196">
        <v>0</v>
      </c>
      <c r="G206" s="196">
        <v>0</v>
      </c>
      <c r="H206" s="196">
        <f t="shared" si="5"/>
        <v>0</v>
      </c>
      <c r="I206" s="216"/>
      <c r="J206" s="176"/>
    </row>
    <row r="207" spans="1:10" s="31" customFormat="1" x14ac:dyDescent="0.2">
      <c r="A207" s="8" t="s">
        <v>786</v>
      </c>
      <c r="B207" s="35">
        <v>81750</v>
      </c>
      <c r="C207" s="136" t="s">
        <v>147</v>
      </c>
      <c r="D207" s="136"/>
      <c r="E207" s="136"/>
      <c r="F207" s="200"/>
      <c r="G207" s="200"/>
      <c r="H207" s="200"/>
      <c r="I207" s="216"/>
      <c r="J207" s="176"/>
    </row>
    <row r="208" spans="1:10" s="31" customFormat="1" x14ac:dyDescent="0.2">
      <c r="A208" s="27" t="s">
        <v>787</v>
      </c>
      <c r="B208" s="28">
        <v>81751</v>
      </c>
      <c r="C208" s="15" t="s">
        <v>149</v>
      </c>
      <c r="D208" s="63">
        <v>4</v>
      </c>
      <c r="E208" s="26" t="s">
        <v>2</v>
      </c>
      <c r="F208" s="198">
        <v>0</v>
      </c>
      <c r="G208" s="198">
        <v>0</v>
      </c>
      <c r="H208" s="196">
        <f>D208*(G208+F208)</f>
        <v>0</v>
      </c>
      <c r="I208" s="216"/>
      <c r="J208" s="176"/>
    </row>
    <row r="209" spans="1:10" s="34" customFormat="1" x14ac:dyDescent="0.2">
      <c r="A209" s="27" t="s">
        <v>788</v>
      </c>
      <c r="B209" s="28">
        <v>81752</v>
      </c>
      <c r="C209" s="15" t="s">
        <v>148</v>
      </c>
      <c r="D209" s="63">
        <v>4</v>
      </c>
      <c r="E209" s="26" t="s">
        <v>2</v>
      </c>
      <c r="F209" s="198">
        <v>0</v>
      </c>
      <c r="G209" s="198">
        <v>0</v>
      </c>
      <c r="H209" s="196">
        <f>D209*(G209+F209)</f>
        <v>0</v>
      </c>
      <c r="I209" s="216"/>
      <c r="J209" s="176"/>
    </row>
    <row r="210" spans="1:10" s="34" customFormat="1" x14ac:dyDescent="0.2">
      <c r="A210" s="27" t="s">
        <v>789</v>
      </c>
      <c r="B210" s="28">
        <v>81792</v>
      </c>
      <c r="C210" s="124" t="s">
        <v>797</v>
      </c>
      <c r="D210" s="63">
        <v>11</v>
      </c>
      <c r="E210" s="26" t="s">
        <v>2</v>
      </c>
      <c r="F210" s="198">
        <v>0</v>
      </c>
      <c r="G210" s="198">
        <v>0</v>
      </c>
      <c r="H210" s="196">
        <f>D210*(G210+F210)</f>
        <v>0</v>
      </c>
      <c r="I210" s="216"/>
      <c r="J210" s="176"/>
    </row>
    <row r="211" spans="1:10" s="31" customFormat="1" x14ac:dyDescent="0.2">
      <c r="A211" s="8" t="s">
        <v>790</v>
      </c>
      <c r="B211" s="35">
        <v>81810</v>
      </c>
      <c r="C211" s="137" t="s">
        <v>118</v>
      </c>
      <c r="D211" s="138"/>
      <c r="E211" s="138"/>
      <c r="F211" s="201"/>
      <c r="G211" s="201"/>
      <c r="H211" s="202"/>
      <c r="I211" s="216"/>
      <c r="J211" s="176"/>
    </row>
    <row r="212" spans="1:10" s="31" customFormat="1" x14ac:dyDescent="0.2">
      <c r="A212" s="27" t="s">
        <v>798</v>
      </c>
      <c r="B212" s="23">
        <v>81819</v>
      </c>
      <c r="C212" s="124" t="s">
        <v>929</v>
      </c>
      <c r="D212" s="23">
        <v>1</v>
      </c>
      <c r="E212" s="23" t="s">
        <v>2</v>
      </c>
      <c r="F212" s="196">
        <v>0</v>
      </c>
      <c r="G212" s="196">
        <v>0</v>
      </c>
      <c r="H212" s="196">
        <f t="shared" ref="H212:H222" si="6">D212*(G212+F212)</f>
        <v>0</v>
      </c>
      <c r="I212" s="216"/>
      <c r="J212" s="176"/>
    </row>
    <row r="213" spans="1:10" s="31" customFormat="1" ht="15" customHeight="1" x14ac:dyDescent="0.2">
      <c r="A213" s="27" t="s">
        <v>799</v>
      </c>
      <c r="B213" s="37">
        <v>81825</v>
      </c>
      <c r="C213" s="124" t="s">
        <v>150</v>
      </c>
      <c r="D213" s="63">
        <v>6</v>
      </c>
      <c r="E213" s="26" t="s">
        <v>2</v>
      </c>
      <c r="F213" s="196">
        <v>0</v>
      </c>
      <c r="G213" s="196">
        <v>0</v>
      </c>
      <c r="H213" s="196">
        <f t="shared" si="6"/>
        <v>0</v>
      </c>
      <c r="I213" s="216"/>
      <c r="J213" s="176"/>
    </row>
    <row r="214" spans="1:10" s="38" customFormat="1" x14ac:dyDescent="0.2">
      <c r="A214" s="27" t="s">
        <v>800</v>
      </c>
      <c r="B214" s="37">
        <v>81826</v>
      </c>
      <c r="C214" s="124" t="s">
        <v>152</v>
      </c>
      <c r="D214" s="63">
        <v>6</v>
      </c>
      <c r="E214" s="26" t="s">
        <v>2</v>
      </c>
      <c r="F214" s="196">
        <v>0</v>
      </c>
      <c r="G214" s="196">
        <v>0</v>
      </c>
      <c r="H214" s="196">
        <f t="shared" si="6"/>
        <v>0</v>
      </c>
      <c r="I214" s="216"/>
      <c r="J214" s="176"/>
    </row>
    <row r="215" spans="1:10" s="31" customFormat="1" x14ac:dyDescent="0.2">
      <c r="A215" s="27" t="s">
        <v>801</v>
      </c>
      <c r="B215" s="37">
        <v>81850</v>
      </c>
      <c r="C215" s="124" t="s">
        <v>805</v>
      </c>
      <c r="D215" s="63">
        <v>1</v>
      </c>
      <c r="E215" s="26" t="s">
        <v>2</v>
      </c>
      <c r="F215" s="196">
        <v>0</v>
      </c>
      <c r="G215" s="196">
        <v>0</v>
      </c>
      <c r="H215" s="196">
        <f t="shared" si="6"/>
        <v>0</v>
      </c>
      <c r="I215" s="216"/>
      <c r="J215" s="176"/>
    </row>
    <row r="216" spans="1:10" s="31" customFormat="1" ht="25.5" x14ac:dyDescent="0.2">
      <c r="A216" s="27" t="s">
        <v>802</v>
      </c>
      <c r="B216" s="37">
        <v>81828</v>
      </c>
      <c r="C216" s="133" t="s">
        <v>804</v>
      </c>
      <c r="D216" s="63">
        <v>3</v>
      </c>
      <c r="E216" s="26" t="s">
        <v>2</v>
      </c>
      <c r="F216" s="196">
        <v>0</v>
      </c>
      <c r="G216" s="196">
        <v>0</v>
      </c>
      <c r="H216" s="196">
        <f t="shared" si="6"/>
        <v>0</v>
      </c>
      <c r="I216" s="216"/>
      <c r="J216" s="176"/>
    </row>
    <row r="217" spans="1:10" s="34" customFormat="1" x14ac:dyDescent="0.2">
      <c r="A217" s="27" t="s">
        <v>803</v>
      </c>
      <c r="B217" s="37">
        <v>81861</v>
      </c>
      <c r="C217" s="15" t="s">
        <v>97</v>
      </c>
      <c r="D217" s="63">
        <v>1</v>
      </c>
      <c r="E217" s="26" t="s">
        <v>2</v>
      </c>
      <c r="F217" s="196">
        <v>0</v>
      </c>
      <c r="G217" s="196">
        <v>0</v>
      </c>
      <c r="H217" s="196">
        <f t="shared" si="6"/>
        <v>0</v>
      </c>
      <c r="I217" s="216"/>
      <c r="J217" s="176"/>
    </row>
    <row r="218" spans="1:10" s="34" customFormat="1" x14ac:dyDescent="0.2">
      <c r="A218" s="27" t="s">
        <v>810</v>
      </c>
      <c r="B218" s="134">
        <v>81880</v>
      </c>
      <c r="C218" s="1" t="s">
        <v>999</v>
      </c>
      <c r="D218" s="63">
        <v>1</v>
      </c>
      <c r="E218" s="26" t="s">
        <v>2</v>
      </c>
      <c r="F218" s="196">
        <v>0</v>
      </c>
      <c r="G218" s="196">
        <v>0</v>
      </c>
      <c r="H218" s="196">
        <f t="shared" si="6"/>
        <v>0</v>
      </c>
      <c r="I218" s="216"/>
      <c r="J218" s="176"/>
    </row>
    <row r="219" spans="1:10" s="34" customFormat="1" x14ac:dyDescent="0.2">
      <c r="A219" s="27" t="s">
        <v>811</v>
      </c>
      <c r="B219" s="134">
        <v>81867</v>
      </c>
      <c r="C219" s="124" t="s">
        <v>806</v>
      </c>
      <c r="D219" s="63">
        <v>1</v>
      </c>
      <c r="E219" s="26" t="s">
        <v>2</v>
      </c>
      <c r="F219" s="196">
        <v>0</v>
      </c>
      <c r="G219" s="196">
        <v>0</v>
      </c>
      <c r="H219" s="196">
        <f t="shared" si="6"/>
        <v>0</v>
      </c>
      <c r="I219" s="216"/>
      <c r="J219" s="176"/>
    </row>
    <row r="220" spans="1:10" s="34" customFormat="1" x14ac:dyDescent="0.2">
      <c r="A220" s="27" t="s">
        <v>812</v>
      </c>
      <c r="B220" s="135">
        <v>81874</v>
      </c>
      <c r="C220" s="124" t="s">
        <v>807</v>
      </c>
      <c r="D220" s="63">
        <v>1</v>
      </c>
      <c r="E220" s="26" t="s">
        <v>2</v>
      </c>
      <c r="F220" s="196">
        <v>0</v>
      </c>
      <c r="G220" s="196">
        <v>0</v>
      </c>
      <c r="H220" s="196">
        <f t="shared" si="6"/>
        <v>0</v>
      </c>
      <c r="I220" s="216"/>
      <c r="J220" s="176"/>
    </row>
    <row r="221" spans="1:10" s="34" customFormat="1" x14ac:dyDescent="0.2">
      <c r="A221" s="27" t="s">
        <v>813</v>
      </c>
      <c r="B221" s="28">
        <v>81885</v>
      </c>
      <c r="C221" s="124" t="s">
        <v>808</v>
      </c>
      <c r="D221" s="63">
        <v>2</v>
      </c>
      <c r="E221" s="26" t="s">
        <v>2</v>
      </c>
      <c r="F221" s="196">
        <v>0</v>
      </c>
      <c r="G221" s="196">
        <v>0</v>
      </c>
      <c r="H221" s="196">
        <f t="shared" si="6"/>
        <v>0</v>
      </c>
      <c r="I221" s="216"/>
      <c r="J221" s="176"/>
    </row>
    <row r="222" spans="1:10" s="34" customFormat="1" x14ac:dyDescent="0.2">
      <c r="A222" s="27" t="s">
        <v>814</v>
      </c>
      <c r="B222" s="28">
        <v>81889</v>
      </c>
      <c r="C222" s="124" t="s">
        <v>809</v>
      </c>
      <c r="D222" s="63">
        <v>2</v>
      </c>
      <c r="E222" s="26" t="s">
        <v>2</v>
      </c>
      <c r="F222" s="196">
        <v>0</v>
      </c>
      <c r="G222" s="196">
        <v>0</v>
      </c>
      <c r="H222" s="196">
        <f t="shared" si="6"/>
        <v>0</v>
      </c>
      <c r="I222" s="216"/>
      <c r="J222" s="176"/>
    </row>
    <row r="223" spans="1:10" s="31" customFormat="1" x14ac:dyDescent="0.2">
      <c r="A223" s="8" t="s">
        <v>834</v>
      </c>
      <c r="B223" s="35">
        <v>81920</v>
      </c>
      <c r="C223" s="224" t="s">
        <v>124</v>
      </c>
      <c r="D223" s="225"/>
      <c r="E223" s="225"/>
      <c r="F223" s="225"/>
      <c r="G223" s="225"/>
      <c r="H223" s="226"/>
      <c r="I223" s="216"/>
      <c r="J223" s="176"/>
    </row>
    <row r="224" spans="1:10" s="31" customFormat="1" x14ac:dyDescent="0.2">
      <c r="A224" s="27" t="s">
        <v>835</v>
      </c>
      <c r="B224" s="28">
        <v>81924</v>
      </c>
      <c r="C224" s="124" t="s">
        <v>822</v>
      </c>
      <c r="D224" s="63">
        <v>2</v>
      </c>
      <c r="E224" s="26" t="s">
        <v>2</v>
      </c>
      <c r="F224" s="196">
        <v>0</v>
      </c>
      <c r="G224" s="196">
        <v>0</v>
      </c>
      <c r="H224" s="196">
        <f>D224*(G224+F224)</f>
        <v>0</v>
      </c>
      <c r="I224" s="216"/>
      <c r="J224" s="176"/>
    </row>
    <row r="225" spans="1:10" s="31" customFormat="1" x14ac:dyDescent="0.2">
      <c r="A225" s="27" t="s">
        <v>836</v>
      </c>
      <c r="B225" s="28">
        <v>81936</v>
      </c>
      <c r="C225" s="124" t="s">
        <v>823</v>
      </c>
      <c r="D225" s="63">
        <v>7</v>
      </c>
      <c r="E225" s="26" t="s">
        <v>2</v>
      </c>
      <c r="F225" s="196">
        <v>0</v>
      </c>
      <c r="G225" s="196">
        <v>0</v>
      </c>
      <c r="H225" s="196">
        <f t="shared" ref="H225:H233" si="7">D225*(G225+F225)</f>
        <v>0</v>
      </c>
      <c r="I225" s="216"/>
      <c r="J225" s="176"/>
    </row>
    <row r="226" spans="1:10" s="31" customFormat="1" x14ac:dyDescent="0.2">
      <c r="A226" s="27" t="s">
        <v>837</v>
      </c>
      <c r="B226" s="28">
        <v>81923</v>
      </c>
      <c r="C226" s="124" t="s">
        <v>828</v>
      </c>
      <c r="D226" s="63">
        <v>2</v>
      </c>
      <c r="E226" s="26" t="s">
        <v>2</v>
      </c>
      <c r="F226" s="196">
        <v>0</v>
      </c>
      <c r="G226" s="196">
        <v>0</v>
      </c>
      <c r="H226" s="196">
        <f t="shared" si="7"/>
        <v>0</v>
      </c>
      <c r="I226" s="216"/>
      <c r="J226" s="176"/>
    </row>
    <row r="227" spans="1:10" s="31" customFormat="1" x14ac:dyDescent="0.2">
      <c r="A227" s="27" t="s">
        <v>838</v>
      </c>
      <c r="B227" s="28">
        <v>81938</v>
      </c>
      <c r="C227" s="124" t="s">
        <v>172</v>
      </c>
      <c r="D227" s="63">
        <v>5</v>
      </c>
      <c r="E227" s="26" t="s">
        <v>2</v>
      </c>
      <c r="F227" s="196">
        <v>0</v>
      </c>
      <c r="G227" s="196">
        <v>0</v>
      </c>
      <c r="H227" s="196">
        <f t="shared" si="7"/>
        <v>0</v>
      </c>
      <c r="I227" s="216"/>
      <c r="J227" s="176"/>
    </row>
    <row r="228" spans="1:10" s="31" customFormat="1" x14ac:dyDescent="0.2">
      <c r="A228" s="27" t="s">
        <v>839</v>
      </c>
      <c r="B228" s="28">
        <v>81927</v>
      </c>
      <c r="C228" s="124" t="s">
        <v>824</v>
      </c>
      <c r="D228" s="63">
        <v>4</v>
      </c>
      <c r="E228" s="26" t="s">
        <v>2</v>
      </c>
      <c r="F228" s="196">
        <v>0</v>
      </c>
      <c r="G228" s="196">
        <v>0</v>
      </c>
      <c r="H228" s="196">
        <f t="shared" si="7"/>
        <v>0</v>
      </c>
      <c r="I228" s="216"/>
      <c r="J228" s="176"/>
    </row>
    <row r="229" spans="1:10" s="31" customFormat="1" x14ac:dyDescent="0.2">
      <c r="A229" s="8" t="s">
        <v>840</v>
      </c>
      <c r="B229" s="35">
        <v>81960</v>
      </c>
      <c r="C229" s="233" t="s">
        <v>831</v>
      </c>
      <c r="D229" s="234"/>
      <c r="E229" s="234"/>
      <c r="F229" s="234"/>
      <c r="G229" s="234"/>
      <c r="H229" s="235"/>
      <c r="I229" s="216"/>
      <c r="J229" s="176"/>
    </row>
    <row r="230" spans="1:10" s="31" customFormat="1" x14ac:dyDescent="0.2">
      <c r="A230" s="27" t="s">
        <v>841</v>
      </c>
      <c r="B230" s="28">
        <v>81970</v>
      </c>
      <c r="C230" s="124" t="s">
        <v>829</v>
      </c>
      <c r="D230" s="63">
        <v>2</v>
      </c>
      <c r="E230" s="26" t="s">
        <v>2</v>
      </c>
      <c r="F230" s="196">
        <v>0</v>
      </c>
      <c r="G230" s="196">
        <v>0</v>
      </c>
      <c r="H230" s="196">
        <f t="shared" si="7"/>
        <v>0</v>
      </c>
      <c r="I230" s="216"/>
      <c r="J230" s="176"/>
    </row>
    <row r="231" spans="1:10" s="31" customFormat="1" x14ac:dyDescent="0.2">
      <c r="A231" s="27" t="s">
        <v>842</v>
      </c>
      <c r="B231" s="28">
        <v>81972</v>
      </c>
      <c r="C231" s="124" t="s">
        <v>830</v>
      </c>
      <c r="D231" s="63">
        <v>1</v>
      </c>
      <c r="E231" s="26" t="s">
        <v>2</v>
      </c>
      <c r="F231" s="196">
        <v>0</v>
      </c>
      <c r="G231" s="196">
        <v>0</v>
      </c>
      <c r="H231" s="196">
        <f t="shared" si="7"/>
        <v>0</v>
      </c>
      <c r="I231" s="216"/>
      <c r="J231" s="176"/>
    </row>
    <row r="232" spans="1:10" s="31" customFormat="1" x14ac:dyDescent="0.2">
      <c r="A232" s="27" t="s">
        <v>843</v>
      </c>
      <c r="B232" s="28">
        <v>81973</v>
      </c>
      <c r="C232" s="124" t="s">
        <v>825</v>
      </c>
      <c r="D232" s="63">
        <v>4</v>
      </c>
      <c r="E232" s="26" t="s">
        <v>2</v>
      </c>
      <c r="F232" s="196">
        <v>0</v>
      </c>
      <c r="G232" s="196">
        <v>0</v>
      </c>
      <c r="H232" s="196">
        <f t="shared" si="7"/>
        <v>0</v>
      </c>
      <c r="I232" s="216"/>
      <c r="J232" s="176"/>
    </row>
    <row r="233" spans="1:10" s="31" customFormat="1" x14ac:dyDescent="0.2">
      <c r="A233" s="27" t="s">
        <v>844</v>
      </c>
      <c r="B233" s="28">
        <v>81975</v>
      </c>
      <c r="C233" s="124" t="s">
        <v>826</v>
      </c>
      <c r="D233" s="63">
        <v>2</v>
      </c>
      <c r="E233" s="26" t="s">
        <v>2</v>
      </c>
      <c r="F233" s="196">
        <v>0</v>
      </c>
      <c r="G233" s="196">
        <v>0</v>
      </c>
      <c r="H233" s="196">
        <f t="shared" si="7"/>
        <v>0</v>
      </c>
      <c r="I233" s="216"/>
      <c r="J233" s="176"/>
    </row>
    <row r="234" spans="1:10" s="31" customFormat="1" x14ac:dyDescent="0.2">
      <c r="A234" s="8" t="s">
        <v>845</v>
      </c>
      <c r="B234" s="35">
        <v>82200</v>
      </c>
      <c r="C234" s="227" t="s">
        <v>140</v>
      </c>
      <c r="D234" s="228"/>
      <c r="E234" s="228"/>
      <c r="F234" s="228"/>
      <c r="G234" s="228"/>
      <c r="H234" s="229"/>
      <c r="I234" s="216"/>
      <c r="J234" s="176"/>
    </row>
    <row r="235" spans="1:10" s="34" customFormat="1" x14ac:dyDescent="0.2">
      <c r="A235" s="27" t="s">
        <v>846</v>
      </c>
      <c r="B235" s="28">
        <v>82201</v>
      </c>
      <c r="C235" s="15" t="s">
        <v>141</v>
      </c>
      <c r="D235" s="63">
        <v>9</v>
      </c>
      <c r="E235" s="26" t="s">
        <v>2</v>
      </c>
      <c r="F235" s="196">
        <v>0</v>
      </c>
      <c r="G235" s="196">
        <v>0</v>
      </c>
      <c r="H235" s="196">
        <f>D235*(G235+F235)</f>
        <v>0</v>
      </c>
      <c r="I235" s="216"/>
      <c r="J235" s="176"/>
    </row>
    <row r="236" spans="1:10" s="34" customFormat="1" x14ac:dyDescent="0.2">
      <c r="A236" s="27" t="s">
        <v>847</v>
      </c>
      <c r="B236" s="28">
        <v>82230</v>
      </c>
      <c r="C236" s="124" t="s">
        <v>832</v>
      </c>
      <c r="D236" s="63">
        <v>2</v>
      </c>
      <c r="E236" s="26" t="s">
        <v>2</v>
      </c>
      <c r="F236" s="196">
        <v>0</v>
      </c>
      <c r="G236" s="196">
        <v>0</v>
      </c>
      <c r="H236" s="196">
        <f>D236*(G236+F236)</f>
        <v>0</v>
      </c>
      <c r="I236" s="216"/>
      <c r="J236" s="176"/>
    </row>
    <row r="237" spans="1:10" s="34" customFormat="1" x14ac:dyDescent="0.2">
      <c r="A237" s="27" t="s">
        <v>848</v>
      </c>
      <c r="B237" s="28">
        <v>82231</v>
      </c>
      <c r="C237" s="124" t="s">
        <v>833</v>
      </c>
      <c r="D237" s="63">
        <v>1</v>
      </c>
      <c r="E237" s="26" t="s">
        <v>2</v>
      </c>
      <c r="F237" s="196">
        <v>0</v>
      </c>
      <c r="G237" s="196">
        <v>0</v>
      </c>
      <c r="H237" s="196">
        <f>D237*(G237+F237)</f>
        <v>0</v>
      </c>
      <c r="I237" s="216"/>
      <c r="J237" s="176"/>
    </row>
    <row r="238" spans="1:10" s="31" customFormat="1" x14ac:dyDescent="0.2">
      <c r="A238" s="8" t="s">
        <v>849</v>
      </c>
      <c r="B238" s="35">
        <v>82300</v>
      </c>
      <c r="C238" s="224" t="s">
        <v>153</v>
      </c>
      <c r="D238" s="225"/>
      <c r="E238" s="225"/>
      <c r="F238" s="225"/>
      <c r="G238" s="225"/>
      <c r="H238" s="226"/>
      <c r="I238" s="216"/>
      <c r="J238" s="176"/>
    </row>
    <row r="239" spans="1:10" s="31" customFormat="1" x14ac:dyDescent="0.2">
      <c r="A239" s="27" t="s">
        <v>850</v>
      </c>
      <c r="B239" s="37">
        <v>82301</v>
      </c>
      <c r="C239" s="15" t="s">
        <v>154</v>
      </c>
      <c r="D239" s="63">
        <v>70.319999999999993</v>
      </c>
      <c r="E239" s="26" t="s">
        <v>33</v>
      </c>
      <c r="F239" s="196">
        <v>0</v>
      </c>
      <c r="G239" s="196">
        <v>0</v>
      </c>
      <c r="H239" s="196">
        <f>D239*(G239+F239)</f>
        <v>0</v>
      </c>
      <c r="I239" s="216"/>
      <c r="J239" s="176"/>
    </row>
    <row r="240" spans="1:10" s="31" customFormat="1" x14ac:dyDescent="0.2">
      <c r="A240" s="27" t="s">
        <v>851</v>
      </c>
      <c r="B240" s="28">
        <v>82302</v>
      </c>
      <c r="C240" s="124" t="s">
        <v>852</v>
      </c>
      <c r="D240" s="63">
        <v>2.63</v>
      </c>
      <c r="E240" s="26" t="s">
        <v>33</v>
      </c>
      <c r="F240" s="196">
        <v>0</v>
      </c>
      <c r="G240" s="196">
        <v>0</v>
      </c>
      <c r="H240" s="196">
        <f>D240*(G240+F240)</f>
        <v>0</v>
      </c>
      <c r="I240" s="216"/>
      <c r="J240" s="176"/>
    </row>
    <row r="241" spans="1:10" s="31" customFormat="1" x14ac:dyDescent="0.2">
      <c r="A241" s="27" t="s">
        <v>853</v>
      </c>
      <c r="B241" s="28">
        <v>82303</v>
      </c>
      <c r="C241" s="15" t="s">
        <v>155</v>
      </c>
      <c r="D241" s="63">
        <f>55.08+4*(3.2)+4.1+2*(3.4)</f>
        <v>78.779999999999987</v>
      </c>
      <c r="E241" s="26" t="s">
        <v>33</v>
      </c>
      <c r="F241" s="196">
        <v>0</v>
      </c>
      <c r="G241" s="196">
        <v>0</v>
      </c>
      <c r="H241" s="196">
        <f>D241*(G241+F241)</f>
        <v>0</v>
      </c>
      <c r="I241" s="216"/>
      <c r="J241" s="176"/>
    </row>
    <row r="242" spans="1:10" s="7" customFormat="1" x14ac:dyDescent="0.2">
      <c r="A242" s="27" t="s">
        <v>930</v>
      </c>
      <c r="B242" s="28">
        <v>82304</v>
      </c>
      <c r="C242" s="15" t="s">
        <v>156</v>
      </c>
      <c r="D242" s="63">
        <v>81.39</v>
      </c>
      <c r="E242" s="26" t="s">
        <v>33</v>
      </c>
      <c r="F242" s="196">
        <v>0</v>
      </c>
      <c r="G242" s="196">
        <v>0</v>
      </c>
      <c r="H242" s="196">
        <f>D242*(G242+F242)</f>
        <v>0</v>
      </c>
      <c r="I242" s="216"/>
      <c r="J242" s="176"/>
    </row>
    <row r="243" spans="1:10" s="7" customFormat="1" x14ac:dyDescent="0.2">
      <c r="A243" s="27" t="s">
        <v>1039</v>
      </c>
      <c r="B243" s="28">
        <v>85000</v>
      </c>
      <c r="C243" s="262" t="s">
        <v>1037</v>
      </c>
      <c r="D243" s="262"/>
      <c r="E243" s="262"/>
      <c r="F243" s="262"/>
      <c r="G243" s="262"/>
      <c r="H243" s="262"/>
      <c r="I243" s="216"/>
      <c r="J243" s="176"/>
    </row>
    <row r="244" spans="1:10" s="7" customFormat="1" x14ac:dyDescent="0.2">
      <c r="A244" s="27" t="s">
        <v>1040</v>
      </c>
      <c r="B244" s="28">
        <v>85006</v>
      </c>
      <c r="C244" s="124" t="s">
        <v>1038</v>
      </c>
      <c r="D244" s="63">
        <v>3</v>
      </c>
      <c r="E244" s="26" t="s">
        <v>2</v>
      </c>
      <c r="F244" s="196">
        <v>0</v>
      </c>
      <c r="G244" s="196">
        <v>0</v>
      </c>
      <c r="H244" s="196">
        <f>D244*(G244+F244)</f>
        <v>0</v>
      </c>
      <c r="I244" s="216"/>
      <c r="J244" s="176"/>
    </row>
    <row r="245" spans="1:10" s="7" customFormat="1" x14ac:dyDescent="0.2">
      <c r="A245" s="212" t="s">
        <v>22</v>
      </c>
      <c r="B245" s="213"/>
      <c r="C245" s="213"/>
      <c r="D245" s="213"/>
      <c r="E245" s="213"/>
      <c r="F245" s="213"/>
      <c r="G245" s="214"/>
      <c r="H245" s="110">
        <f>SUM(H132:H244)</f>
        <v>0</v>
      </c>
      <c r="I245" s="197">
        <f>H245+(H245*0.273)</f>
        <v>0</v>
      </c>
      <c r="J245" s="176"/>
    </row>
    <row r="246" spans="1:10" s="7" customFormat="1" x14ac:dyDescent="0.2">
      <c r="A246" s="249" t="s">
        <v>60</v>
      </c>
      <c r="B246" s="250"/>
      <c r="C246" s="250"/>
      <c r="D246" s="250"/>
      <c r="E246" s="250"/>
      <c r="F246" s="250"/>
      <c r="G246" s="250"/>
      <c r="H246" s="250"/>
      <c r="I246" s="251"/>
      <c r="J246" s="176"/>
    </row>
    <row r="247" spans="1:10" s="39" customFormat="1" x14ac:dyDescent="0.2">
      <c r="A247" s="8">
        <v>8</v>
      </c>
      <c r="B247" s="20">
        <v>100000</v>
      </c>
      <c r="C247" s="230" t="s">
        <v>59</v>
      </c>
      <c r="D247" s="231"/>
      <c r="E247" s="231"/>
      <c r="F247" s="231"/>
      <c r="G247" s="231"/>
      <c r="H247" s="231"/>
      <c r="I247" s="232"/>
      <c r="J247" s="176"/>
    </row>
    <row r="248" spans="1:10" s="39" customFormat="1" ht="25.5" x14ac:dyDescent="0.2">
      <c r="A248" s="10" t="s">
        <v>223</v>
      </c>
      <c r="B248" s="54">
        <v>100160</v>
      </c>
      <c r="C248" s="15" t="s">
        <v>568</v>
      </c>
      <c r="D248" s="63">
        <f>'Memória de Cálculo'!D287</f>
        <v>774.63852400000019</v>
      </c>
      <c r="E248" s="56" t="s">
        <v>34</v>
      </c>
      <c r="F248" s="203">
        <v>0</v>
      </c>
      <c r="G248" s="203">
        <v>0</v>
      </c>
      <c r="H248" s="203">
        <f>D248*(G248+F248)</f>
        <v>0</v>
      </c>
      <c r="I248" s="272"/>
      <c r="J248" s="176"/>
    </row>
    <row r="249" spans="1:10" s="7" customFormat="1" x14ac:dyDescent="0.2">
      <c r="A249" s="10" t="s">
        <v>224</v>
      </c>
      <c r="B249" s="57">
        <v>100320</v>
      </c>
      <c r="C249" s="43" t="s">
        <v>412</v>
      </c>
      <c r="D249" s="83">
        <v>4.9400000000000004</v>
      </c>
      <c r="E249" s="56" t="s">
        <v>34</v>
      </c>
      <c r="F249" s="203">
        <v>0</v>
      </c>
      <c r="G249" s="203">
        <v>0</v>
      </c>
      <c r="H249" s="203">
        <f>D249*(G249+F249)</f>
        <v>0</v>
      </c>
      <c r="I249" s="273"/>
      <c r="J249" s="176"/>
    </row>
    <row r="250" spans="1:10" s="7" customFormat="1" x14ac:dyDescent="0.2">
      <c r="A250" s="212" t="s">
        <v>22</v>
      </c>
      <c r="B250" s="213"/>
      <c r="C250" s="213"/>
      <c r="D250" s="213"/>
      <c r="E250" s="213"/>
      <c r="F250" s="213"/>
      <c r="G250" s="214"/>
      <c r="H250" s="110">
        <f>SUM(H247:H249)</f>
        <v>0</v>
      </c>
      <c r="I250" s="197">
        <f>H250+(H250*0.273)</f>
        <v>0</v>
      </c>
      <c r="J250" s="176"/>
    </row>
    <row r="251" spans="1:10" s="7" customFormat="1" x14ac:dyDescent="0.2">
      <c r="A251" s="249" t="s">
        <v>584</v>
      </c>
      <c r="B251" s="250"/>
      <c r="C251" s="250"/>
      <c r="D251" s="250"/>
      <c r="E251" s="250"/>
      <c r="F251" s="250"/>
      <c r="G251" s="250"/>
      <c r="H251" s="250"/>
      <c r="I251" s="251"/>
      <c r="J251" s="176"/>
    </row>
    <row r="252" spans="1:10" s="7" customFormat="1" x14ac:dyDescent="0.2">
      <c r="A252" s="170" t="s">
        <v>585</v>
      </c>
      <c r="B252" s="77">
        <v>120000</v>
      </c>
      <c r="C252" s="230" t="s">
        <v>586</v>
      </c>
      <c r="D252" s="231"/>
      <c r="E252" s="231"/>
      <c r="F252" s="231"/>
      <c r="G252" s="231"/>
      <c r="H252" s="231"/>
      <c r="I252" s="232"/>
      <c r="J252" s="176"/>
    </row>
    <row r="253" spans="1:10" s="7" customFormat="1" x14ac:dyDescent="0.2">
      <c r="A253" s="171" t="s">
        <v>178</v>
      </c>
      <c r="B253" s="160">
        <v>121001</v>
      </c>
      <c r="C253" s="43" t="s">
        <v>587</v>
      </c>
      <c r="D253" s="107">
        <f>'Memória de Cálculo'!D307</f>
        <v>108.08850000000001</v>
      </c>
      <c r="E253" s="23" t="s">
        <v>573</v>
      </c>
      <c r="F253" s="199">
        <v>0</v>
      </c>
      <c r="G253" s="199">
        <v>0</v>
      </c>
      <c r="H253" s="199">
        <f>D253*(G253+F253)</f>
        <v>0</v>
      </c>
      <c r="I253" s="25"/>
      <c r="J253" s="176"/>
    </row>
    <row r="254" spans="1:10" s="7" customFormat="1" x14ac:dyDescent="0.2">
      <c r="A254" s="212" t="s">
        <v>22</v>
      </c>
      <c r="B254" s="213"/>
      <c r="C254" s="213"/>
      <c r="D254" s="213"/>
      <c r="E254" s="213"/>
      <c r="F254" s="213"/>
      <c r="G254" s="214"/>
      <c r="H254" s="110">
        <f>SUM(H253)</f>
        <v>0</v>
      </c>
      <c r="I254" s="197">
        <f>H254+(H254*0.273)</f>
        <v>0</v>
      </c>
      <c r="J254" s="176"/>
    </row>
    <row r="255" spans="1:10" s="7" customFormat="1" x14ac:dyDescent="0.2">
      <c r="A255" s="249" t="s">
        <v>931</v>
      </c>
      <c r="B255" s="250"/>
      <c r="C255" s="250"/>
      <c r="D255" s="250"/>
      <c r="E255" s="250"/>
      <c r="F255" s="250"/>
      <c r="G255" s="250"/>
      <c r="H255" s="250"/>
      <c r="I255" s="251"/>
      <c r="J255" s="176"/>
    </row>
    <row r="256" spans="1:10" s="7" customFormat="1" x14ac:dyDescent="0.2">
      <c r="A256" s="170" t="s">
        <v>933</v>
      </c>
      <c r="B256" s="77">
        <v>140000</v>
      </c>
      <c r="C256" s="230" t="s">
        <v>932</v>
      </c>
      <c r="D256" s="231"/>
      <c r="E256" s="231"/>
      <c r="F256" s="231"/>
      <c r="G256" s="231"/>
      <c r="H256" s="231"/>
      <c r="I256" s="232"/>
      <c r="J256" s="176"/>
    </row>
    <row r="257" spans="1:10" s="7" customFormat="1" ht="25.5" x14ac:dyDescent="0.2">
      <c r="A257" s="172" t="s">
        <v>181</v>
      </c>
      <c r="B257" s="23">
        <v>140200</v>
      </c>
      <c r="C257" s="51" t="s">
        <v>574</v>
      </c>
      <c r="D257" s="68">
        <f>'Memória de Cálculo'!D346</f>
        <v>287.74</v>
      </c>
      <c r="E257" s="23" t="s">
        <v>573</v>
      </c>
      <c r="F257" s="199">
        <v>0</v>
      </c>
      <c r="G257" s="199">
        <v>0</v>
      </c>
      <c r="H257" s="199">
        <f>D257*(G257+F257)</f>
        <v>0</v>
      </c>
      <c r="I257" s="25"/>
      <c r="J257" s="176"/>
    </row>
    <row r="258" spans="1:10" s="7" customFormat="1" x14ac:dyDescent="0.2">
      <c r="A258" s="212" t="s">
        <v>22</v>
      </c>
      <c r="B258" s="213"/>
      <c r="C258" s="213"/>
      <c r="D258" s="213"/>
      <c r="E258" s="213"/>
      <c r="F258" s="213"/>
      <c r="G258" s="214"/>
      <c r="H258" s="110">
        <f>SUM(H257)</f>
        <v>0</v>
      </c>
      <c r="I258" s="197">
        <f>H258+(H258*0.273)</f>
        <v>0</v>
      </c>
      <c r="J258" s="176"/>
    </row>
    <row r="259" spans="1:10" s="7" customFormat="1" x14ac:dyDescent="0.2">
      <c r="A259" s="249" t="s">
        <v>964</v>
      </c>
      <c r="B259" s="250"/>
      <c r="C259" s="250"/>
      <c r="D259" s="250"/>
      <c r="E259" s="250"/>
      <c r="F259" s="250"/>
      <c r="G259" s="250"/>
      <c r="H259" s="250"/>
      <c r="I259" s="251"/>
      <c r="J259" s="176"/>
    </row>
    <row r="260" spans="1:10" s="7" customFormat="1" x14ac:dyDescent="0.2">
      <c r="A260" s="170" t="s">
        <v>980</v>
      </c>
      <c r="B260" s="77">
        <v>140000</v>
      </c>
      <c r="C260" s="230" t="s">
        <v>1030</v>
      </c>
      <c r="D260" s="231"/>
      <c r="E260" s="231"/>
      <c r="F260" s="231"/>
      <c r="G260" s="231"/>
      <c r="H260" s="231"/>
      <c r="I260" s="232"/>
      <c r="J260" s="176"/>
    </row>
    <row r="261" spans="1:10" s="7" customFormat="1" ht="25.5" x14ac:dyDescent="0.2">
      <c r="A261" s="172" t="s">
        <v>566</v>
      </c>
      <c r="B261" s="23">
        <v>150204</v>
      </c>
      <c r="C261" s="7" t="s">
        <v>965</v>
      </c>
      <c r="D261" s="68">
        <f>'Memória de Cálculo'!D353</f>
        <v>418.82</v>
      </c>
      <c r="E261" s="23" t="s">
        <v>37</v>
      </c>
      <c r="F261" s="199">
        <v>0</v>
      </c>
      <c r="G261" s="199">
        <v>0</v>
      </c>
      <c r="H261" s="199">
        <f>D261*(G261+F261)</f>
        <v>0</v>
      </c>
      <c r="I261" s="25"/>
      <c r="J261" s="176"/>
    </row>
    <row r="262" spans="1:10" s="7" customFormat="1" x14ac:dyDescent="0.2">
      <c r="A262" s="212" t="s">
        <v>22</v>
      </c>
      <c r="B262" s="213"/>
      <c r="C262" s="213"/>
      <c r="D262" s="213"/>
      <c r="E262" s="213"/>
      <c r="F262" s="213"/>
      <c r="G262" s="214"/>
      <c r="H262" s="110">
        <f>SUM(H261)</f>
        <v>0</v>
      </c>
      <c r="I262" s="197">
        <f>H262+(H262*0.273)</f>
        <v>0</v>
      </c>
      <c r="J262" s="176"/>
    </row>
    <row r="263" spans="1:10" s="7" customFormat="1" x14ac:dyDescent="0.2">
      <c r="A263" s="249" t="s">
        <v>67</v>
      </c>
      <c r="B263" s="250"/>
      <c r="C263" s="250"/>
      <c r="D263" s="250"/>
      <c r="E263" s="250"/>
      <c r="F263" s="250"/>
      <c r="G263" s="250"/>
      <c r="H263" s="250"/>
      <c r="I263" s="251"/>
      <c r="J263" s="176"/>
    </row>
    <row r="264" spans="1:10" s="31" customFormat="1" x14ac:dyDescent="0.2">
      <c r="A264" s="8">
        <v>12</v>
      </c>
      <c r="B264" s="20">
        <v>160000</v>
      </c>
      <c r="C264" s="230" t="s">
        <v>64</v>
      </c>
      <c r="D264" s="231"/>
      <c r="E264" s="231"/>
      <c r="F264" s="231"/>
      <c r="G264" s="231"/>
      <c r="H264" s="231"/>
      <c r="I264" s="232"/>
      <c r="J264" s="176"/>
    </row>
    <row r="265" spans="1:10" s="31" customFormat="1" x14ac:dyDescent="0.2">
      <c r="A265" s="29" t="s">
        <v>198</v>
      </c>
      <c r="B265" s="28">
        <v>160502</v>
      </c>
      <c r="C265" s="43" t="s">
        <v>295</v>
      </c>
      <c r="D265" s="63">
        <f>'Memória de Cálculo'!D360</f>
        <v>16.100000000000001</v>
      </c>
      <c r="E265" s="99" t="s">
        <v>33</v>
      </c>
      <c r="F265" s="199">
        <v>0</v>
      </c>
      <c r="G265" s="199">
        <v>0</v>
      </c>
      <c r="H265" s="199">
        <f t="shared" ref="H265:H270" si="8">D265*(G265+F265)</f>
        <v>0</v>
      </c>
      <c r="I265" s="236"/>
      <c r="J265" s="176"/>
    </row>
    <row r="266" spans="1:10" s="31" customFormat="1" x14ac:dyDescent="0.2">
      <c r="A266" s="29" t="s">
        <v>199</v>
      </c>
      <c r="B266" s="28">
        <v>160501</v>
      </c>
      <c r="C266" s="43" t="s">
        <v>180</v>
      </c>
      <c r="D266" s="63">
        <f>'Memória de Cálculo'!D361</f>
        <v>287.74</v>
      </c>
      <c r="E266" s="99" t="s">
        <v>34</v>
      </c>
      <c r="F266" s="199">
        <v>0</v>
      </c>
      <c r="G266" s="199">
        <v>0</v>
      </c>
      <c r="H266" s="199">
        <f t="shared" si="8"/>
        <v>0</v>
      </c>
      <c r="I266" s="237"/>
      <c r="J266" s="176"/>
    </row>
    <row r="267" spans="1:10" s="31" customFormat="1" x14ac:dyDescent="0.2">
      <c r="A267" s="29" t="s">
        <v>200</v>
      </c>
      <c r="B267" s="28">
        <v>160906</v>
      </c>
      <c r="C267" s="43" t="s">
        <v>559</v>
      </c>
      <c r="D267" s="63">
        <f>'Memória de Cálculo'!D365</f>
        <v>50.05</v>
      </c>
      <c r="E267" s="99" t="s">
        <v>34</v>
      </c>
      <c r="F267" s="199">
        <v>0</v>
      </c>
      <c r="G267" s="199">
        <v>0</v>
      </c>
      <c r="H267" s="199">
        <f t="shared" si="8"/>
        <v>0</v>
      </c>
      <c r="I267" s="237"/>
      <c r="J267" s="176"/>
    </row>
    <row r="268" spans="1:10" s="31" customFormat="1" x14ac:dyDescent="0.2">
      <c r="A268" s="29" t="s">
        <v>296</v>
      </c>
      <c r="B268" s="28">
        <v>160601</v>
      </c>
      <c r="C268" s="43" t="s">
        <v>556</v>
      </c>
      <c r="D268" s="63">
        <f>'Memória de Cálculo'!D366</f>
        <v>24.527999999999999</v>
      </c>
      <c r="E268" s="26" t="s">
        <v>34</v>
      </c>
      <c r="F268" s="199">
        <v>0</v>
      </c>
      <c r="G268" s="199">
        <v>0</v>
      </c>
      <c r="H268" s="199">
        <f t="shared" si="8"/>
        <v>0</v>
      </c>
      <c r="I268" s="237"/>
      <c r="J268" s="176"/>
    </row>
    <row r="269" spans="1:10" s="31" customFormat="1" x14ac:dyDescent="0.2">
      <c r="A269" s="29" t="s">
        <v>297</v>
      </c>
      <c r="B269" s="28">
        <v>160602</v>
      </c>
      <c r="C269" s="43" t="s">
        <v>562</v>
      </c>
      <c r="D269" s="63">
        <f>'Memória de Cálculo'!D367</f>
        <v>88.02</v>
      </c>
      <c r="E269" s="26" t="s">
        <v>33</v>
      </c>
      <c r="F269" s="199">
        <v>0</v>
      </c>
      <c r="G269" s="199">
        <v>0</v>
      </c>
      <c r="H269" s="199">
        <f t="shared" si="8"/>
        <v>0</v>
      </c>
      <c r="I269" s="237"/>
      <c r="J269" s="176"/>
    </row>
    <row r="270" spans="1:10" s="31" customFormat="1" x14ac:dyDescent="0.2">
      <c r="A270" s="29" t="s">
        <v>560</v>
      </c>
      <c r="B270" s="28">
        <v>160603</v>
      </c>
      <c r="C270" s="43" t="s">
        <v>179</v>
      </c>
      <c r="D270" s="63">
        <f>'Memória de Cálculo'!D371</f>
        <v>8.9946000000000002</v>
      </c>
      <c r="E270" s="26" t="s">
        <v>34</v>
      </c>
      <c r="F270" s="199">
        <v>0</v>
      </c>
      <c r="G270" s="199">
        <v>0</v>
      </c>
      <c r="H270" s="199">
        <f t="shared" si="8"/>
        <v>0</v>
      </c>
      <c r="I270" s="238"/>
      <c r="J270" s="176"/>
    </row>
    <row r="271" spans="1:10" s="7" customFormat="1" x14ac:dyDescent="0.2">
      <c r="A271" s="212" t="s">
        <v>22</v>
      </c>
      <c r="B271" s="213"/>
      <c r="C271" s="213"/>
      <c r="D271" s="213"/>
      <c r="E271" s="213"/>
      <c r="F271" s="213"/>
      <c r="G271" s="214"/>
      <c r="H271" s="110">
        <f>SUM(H265:H270)</f>
        <v>0</v>
      </c>
      <c r="I271" s="197">
        <f>H271+(H271*0.273)</f>
        <v>0</v>
      </c>
      <c r="J271" s="176"/>
    </row>
    <row r="272" spans="1:10" s="7" customFormat="1" x14ac:dyDescent="0.2">
      <c r="A272" s="249" t="s">
        <v>400</v>
      </c>
      <c r="B272" s="250"/>
      <c r="C272" s="250"/>
      <c r="D272" s="250"/>
      <c r="E272" s="250"/>
      <c r="F272" s="250"/>
      <c r="G272" s="250"/>
      <c r="H272" s="250"/>
      <c r="I272" s="251"/>
      <c r="J272" s="176"/>
    </row>
    <row r="273" spans="1:10" s="39" customFormat="1" x14ac:dyDescent="0.2">
      <c r="A273" s="8">
        <v>12</v>
      </c>
      <c r="B273" s="20">
        <v>170000</v>
      </c>
      <c r="C273" s="230" t="s">
        <v>401</v>
      </c>
      <c r="D273" s="231"/>
      <c r="E273" s="231"/>
      <c r="F273" s="231"/>
      <c r="G273" s="231"/>
      <c r="H273" s="231"/>
      <c r="I273" s="232"/>
      <c r="J273" s="176"/>
    </row>
    <row r="274" spans="1:10" s="39" customFormat="1" x14ac:dyDescent="0.2">
      <c r="A274" s="27" t="s">
        <v>198</v>
      </c>
      <c r="B274" s="28">
        <v>170102</v>
      </c>
      <c r="C274" s="43" t="s">
        <v>399</v>
      </c>
      <c r="D274" s="63">
        <v>1</v>
      </c>
      <c r="E274" s="26" t="s">
        <v>2</v>
      </c>
      <c r="F274" s="199">
        <v>0</v>
      </c>
      <c r="G274" s="199">
        <v>0</v>
      </c>
      <c r="H274" s="199">
        <f>D274*(G274+F274)</f>
        <v>0</v>
      </c>
      <c r="I274" s="216"/>
      <c r="J274" s="176"/>
    </row>
    <row r="275" spans="1:10" s="39" customFormat="1" x14ac:dyDescent="0.2">
      <c r="A275" s="27" t="s">
        <v>199</v>
      </c>
      <c r="B275" s="28">
        <v>170103</v>
      </c>
      <c r="C275" s="43" t="s">
        <v>423</v>
      </c>
      <c r="D275" s="63">
        <v>6</v>
      </c>
      <c r="E275" s="26" t="s">
        <v>2</v>
      </c>
      <c r="F275" s="199">
        <v>0</v>
      </c>
      <c r="G275" s="199">
        <v>0</v>
      </c>
      <c r="H275" s="199">
        <f>D275*(G275+F275)</f>
        <v>0</v>
      </c>
      <c r="I275" s="216"/>
      <c r="J275" s="176"/>
    </row>
    <row r="276" spans="1:10" s="39" customFormat="1" x14ac:dyDescent="0.2">
      <c r="A276" s="27" t="s">
        <v>200</v>
      </c>
      <c r="B276" s="28">
        <v>170110</v>
      </c>
      <c r="C276" s="43" t="s">
        <v>424</v>
      </c>
      <c r="D276" s="63">
        <v>7</v>
      </c>
      <c r="E276" s="26" t="s">
        <v>2</v>
      </c>
      <c r="F276" s="199">
        <v>0</v>
      </c>
      <c r="G276" s="199">
        <v>0</v>
      </c>
      <c r="H276" s="199">
        <f>D276*(G276+F276)</f>
        <v>0</v>
      </c>
      <c r="I276" s="216"/>
      <c r="J276" s="176"/>
    </row>
    <row r="277" spans="1:10" s="39" customFormat="1" x14ac:dyDescent="0.2">
      <c r="A277" s="27" t="s">
        <v>296</v>
      </c>
      <c r="B277" s="28">
        <v>170107</v>
      </c>
      <c r="C277" s="43" t="s">
        <v>425</v>
      </c>
      <c r="D277" s="63">
        <v>2</v>
      </c>
      <c r="E277" s="26" t="s">
        <v>2</v>
      </c>
      <c r="F277" s="199">
        <v>0</v>
      </c>
      <c r="G277" s="199">
        <v>0</v>
      </c>
      <c r="H277" s="199">
        <f>D277*(G277+F277)</f>
        <v>0</v>
      </c>
      <c r="I277" s="216"/>
      <c r="J277" s="176"/>
    </row>
    <row r="278" spans="1:10" s="39" customFormat="1" x14ac:dyDescent="0.2">
      <c r="A278" s="27" t="s">
        <v>297</v>
      </c>
      <c r="B278" s="28">
        <v>170112</v>
      </c>
      <c r="C278" s="43" t="s">
        <v>426</v>
      </c>
      <c r="D278" s="63">
        <v>1</v>
      </c>
      <c r="E278" s="26" t="s">
        <v>2</v>
      </c>
      <c r="F278" s="199">
        <v>0</v>
      </c>
      <c r="G278" s="199">
        <v>0</v>
      </c>
      <c r="H278" s="199">
        <f>D278*(G278+F278)</f>
        <v>0</v>
      </c>
      <c r="I278" s="216"/>
      <c r="J278" s="176"/>
    </row>
    <row r="279" spans="1:10" s="7" customFormat="1" x14ac:dyDescent="0.2">
      <c r="A279" s="212" t="s">
        <v>22</v>
      </c>
      <c r="B279" s="213"/>
      <c r="C279" s="213"/>
      <c r="D279" s="213"/>
      <c r="E279" s="213"/>
      <c r="F279" s="213"/>
      <c r="G279" s="214"/>
      <c r="H279" s="110">
        <f>SUM(H274:H278)</f>
        <v>0</v>
      </c>
      <c r="I279" s="197">
        <f>H279+(H279*0.273)</f>
        <v>0</v>
      </c>
      <c r="J279" s="176"/>
    </row>
    <row r="280" spans="1:10" s="7" customFormat="1" x14ac:dyDescent="0.2">
      <c r="A280" s="249" t="s">
        <v>66</v>
      </c>
      <c r="B280" s="250"/>
      <c r="C280" s="250"/>
      <c r="D280" s="250"/>
      <c r="E280" s="250"/>
      <c r="F280" s="250"/>
      <c r="G280" s="250"/>
      <c r="H280" s="250"/>
      <c r="I280" s="251"/>
      <c r="J280" s="176"/>
    </row>
    <row r="281" spans="1:10" s="7" customFormat="1" x14ac:dyDescent="0.2">
      <c r="A281" s="8">
        <v>13</v>
      </c>
      <c r="B281" s="20">
        <v>180000</v>
      </c>
      <c r="C281" s="230" t="s">
        <v>65</v>
      </c>
      <c r="D281" s="231"/>
      <c r="E281" s="231"/>
      <c r="F281" s="231"/>
      <c r="G281" s="231"/>
      <c r="H281" s="231"/>
      <c r="I281" s="232"/>
      <c r="J281" s="176"/>
    </row>
    <row r="282" spans="1:10" s="7" customFormat="1" x14ac:dyDescent="0.2">
      <c r="A282" s="29" t="s">
        <v>201</v>
      </c>
      <c r="B282" s="28">
        <v>180401</v>
      </c>
      <c r="C282" s="43" t="s">
        <v>402</v>
      </c>
      <c r="D282" s="63">
        <f>9*1.2*1+1*1*1</f>
        <v>11.799999999999999</v>
      </c>
      <c r="E282" s="26" t="s">
        <v>34</v>
      </c>
      <c r="F282" s="199">
        <v>0</v>
      </c>
      <c r="G282" s="199">
        <v>0</v>
      </c>
      <c r="H282" s="199">
        <f t="shared" ref="H282:H292" si="9">D282*(G282+F282)</f>
        <v>0</v>
      </c>
      <c r="I282" s="215"/>
      <c r="J282" s="176"/>
    </row>
    <row r="283" spans="1:10" s="7" customFormat="1" x14ac:dyDescent="0.2">
      <c r="A283" s="29" t="s">
        <v>202</v>
      </c>
      <c r="B283" s="28">
        <v>180404</v>
      </c>
      <c r="C283" s="15" t="s">
        <v>403</v>
      </c>
      <c r="D283" s="63">
        <f>3*0.4*0.4</f>
        <v>0.48000000000000009</v>
      </c>
      <c r="E283" s="26" t="s">
        <v>34</v>
      </c>
      <c r="F283" s="199">
        <v>0</v>
      </c>
      <c r="G283" s="199">
        <v>0</v>
      </c>
      <c r="H283" s="199">
        <f t="shared" si="9"/>
        <v>0</v>
      </c>
      <c r="I283" s="216"/>
      <c r="J283" s="176"/>
    </row>
    <row r="284" spans="1:10" s="31" customFormat="1" ht="12.75" customHeight="1" x14ac:dyDescent="0.2">
      <c r="A284" s="29" t="s">
        <v>203</v>
      </c>
      <c r="B284" s="28">
        <v>180103</v>
      </c>
      <c r="C284" s="15" t="s">
        <v>404</v>
      </c>
      <c r="D284" s="63">
        <f>2*1.44+2*1.89+2*0.7*2.1</f>
        <v>9.6</v>
      </c>
      <c r="E284" s="26" t="s">
        <v>34</v>
      </c>
      <c r="F284" s="199">
        <v>0</v>
      </c>
      <c r="G284" s="199">
        <v>0</v>
      </c>
      <c r="H284" s="199">
        <f t="shared" si="9"/>
        <v>0</v>
      </c>
      <c r="I284" s="216"/>
      <c r="J284" s="176"/>
    </row>
    <row r="285" spans="1:10" s="31" customFormat="1" x14ac:dyDescent="0.2">
      <c r="A285" s="29" t="s">
        <v>420</v>
      </c>
      <c r="B285" s="28">
        <v>180204</v>
      </c>
      <c r="C285" s="15" t="s">
        <v>405</v>
      </c>
      <c r="D285" s="63">
        <v>1</v>
      </c>
      <c r="E285" s="26" t="s">
        <v>2</v>
      </c>
      <c r="F285" s="199">
        <v>0</v>
      </c>
      <c r="G285" s="199">
        <v>0</v>
      </c>
      <c r="H285" s="199">
        <f t="shared" si="9"/>
        <v>0</v>
      </c>
      <c r="I285" s="216"/>
      <c r="J285" s="176"/>
    </row>
    <row r="286" spans="1:10" s="31" customFormat="1" x14ac:dyDescent="0.2">
      <c r="A286" s="29" t="s">
        <v>421</v>
      </c>
      <c r="B286" s="28">
        <v>180508</v>
      </c>
      <c r="C286" s="15" t="s">
        <v>406</v>
      </c>
      <c r="D286" s="63">
        <f>1.3*2.1</f>
        <v>2.7300000000000004</v>
      </c>
      <c r="E286" s="26" t="s">
        <v>34</v>
      </c>
      <c r="F286" s="199">
        <v>0</v>
      </c>
      <c r="G286" s="199">
        <v>0</v>
      </c>
      <c r="H286" s="199">
        <f t="shared" si="9"/>
        <v>0</v>
      </c>
      <c r="I286" s="216"/>
      <c r="J286" s="176"/>
    </row>
    <row r="287" spans="1:10" s="31" customFormat="1" x14ac:dyDescent="0.2">
      <c r="A287" s="29" t="s">
        <v>422</v>
      </c>
      <c r="B287" s="28">
        <v>180302</v>
      </c>
      <c r="C287" s="15" t="s">
        <v>606</v>
      </c>
      <c r="D287" s="63">
        <v>9.1</v>
      </c>
      <c r="E287" s="26" t="s">
        <v>34</v>
      </c>
      <c r="F287" s="199">
        <v>0</v>
      </c>
      <c r="G287" s="199">
        <v>0</v>
      </c>
      <c r="H287" s="199">
        <f t="shared" si="9"/>
        <v>0</v>
      </c>
      <c r="I287" s="216"/>
      <c r="J287" s="176"/>
    </row>
    <row r="288" spans="1:10" s="7" customFormat="1" ht="27" customHeight="1" x14ac:dyDescent="0.2">
      <c r="A288" s="29" t="s">
        <v>609</v>
      </c>
      <c r="B288" s="28">
        <v>180710</v>
      </c>
      <c r="C288" s="43" t="s">
        <v>407</v>
      </c>
      <c r="D288" s="63">
        <v>0.32</v>
      </c>
      <c r="E288" s="26" t="s">
        <v>34</v>
      </c>
      <c r="F288" s="199">
        <v>0</v>
      </c>
      <c r="G288" s="199">
        <v>0</v>
      </c>
      <c r="H288" s="196">
        <f t="shared" si="9"/>
        <v>0</v>
      </c>
      <c r="I288" s="216"/>
      <c r="J288" s="176"/>
    </row>
    <row r="289" spans="1:10" s="7" customFormat="1" x14ac:dyDescent="0.2">
      <c r="A289" s="29" t="s">
        <v>610</v>
      </c>
      <c r="B289" s="28">
        <v>180313</v>
      </c>
      <c r="C289" s="43" t="s">
        <v>608</v>
      </c>
      <c r="D289" s="63">
        <f>'Memória de Cálculo'!D390</f>
        <v>50.17</v>
      </c>
      <c r="E289" s="26" t="s">
        <v>34</v>
      </c>
      <c r="F289" s="199">
        <v>0</v>
      </c>
      <c r="G289" s="199">
        <v>0</v>
      </c>
      <c r="H289" s="196">
        <f t="shared" si="9"/>
        <v>0</v>
      </c>
      <c r="I289" s="216"/>
      <c r="J289" s="176"/>
    </row>
    <row r="290" spans="1:10" s="7" customFormat="1" x14ac:dyDescent="0.2">
      <c r="A290" s="29" t="s">
        <v>1034</v>
      </c>
      <c r="B290" s="28">
        <v>180280</v>
      </c>
      <c r="C290" s="124" t="s">
        <v>1047</v>
      </c>
      <c r="D290" s="63">
        <f>'Memória de Cálculo'!D391</f>
        <v>9.48</v>
      </c>
      <c r="E290" s="26" t="s">
        <v>34</v>
      </c>
      <c r="F290" s="199">
        <v>0</v>
      </c>
      <c r="G290" s="199">
        <v>0</v>
      </c>
      <c r="H290" s="196">
        <f t="shared" si="9"/>
        <v>0</v>
      </c>
      <c r="I290" s="216"/>
      <c r="J290" s="176"/>
    </row>
    <row r="291" spans="1:10" s="7" customFormat="1" x14ac:dyDescent="0.2">
      <c r="A291" s="29" t="s">
        <v>1036</v>
      </c>
      <c r="B291" s="28">
        <v>180701</v>
      </c>
      <c r="C291" s="124" t="s">
        <v>1033</v>
      </c>
      <c r="D291" s="63">
        <v>3.4</v>
      </c>
      <c r="E291" s="26" t="s">
        <v>33</v>
      </c>
      <c r="F291" s="199">
        <v>0</v>
      </c>
      <c r="G291" s="199">
        <v>0</v>
      </c>
      <c r="H291" s="196">
        <f t="shared" si="9"/>
        <v>0</v>
      </c>
      <c r="I291" s="216"/>
      <c r="J291" s="176"/>
    </row>
    <row r="292" spans="1:10" s="7" customFormat="1" x14ac:dyDescent="0.2">
      <c r="A292" s="29" t="s">
        <v>1048</v>
      </c>
      <c r="B292" s="28">
        <v>180318</v>
      </c>
      <c r="C292" s="124" t="s">
        <v>1035</v>
      </c>
      <c r="D292" s="63">
        <v>3</v>
      </c>
      <c r="E292" s="26" t="s">
        <v>33</v>
      </c>
      <c r="F292" s="199">
        <v>0</v>
      </c>
      <c r="G292" s="199">
        <v>0</v>
      </c>
      <c r="H292" s="196">
        <f t="shared" si="9"/>
        <v>0</v>
      </c>
      <c r="I292" s="217"/>
      <c r="J292" s="176"/>
    </row>
    <row r="293" spans="1:10" s="7" customFormat="1" ht="12.75" customHeight="1" x14ac:dyDescent="0.2">
      <c r="A293" s="212" t="s">
        <v>22</v>
      </c>
      <c r="B293" s="213"/>
      <c r="C293" s="213"/>
      <c r="D293" s="213"/>
      <c r="E293" s="213"/>
      <c r="F293" s="213"/>
      <c r="G293" s="214"/>
      <c r="H293" s="110">
        <f>SUM(H282:H292)</f>
        <v>0</v>
      </c>
      <c r="I293" s="197">
        <f>H293+(H293*0.273)</f>
        <v>0</v>
      </c>
      <c r="J293" s="176"/>
    </row>
    <row r="294" spans="1:10" s="7" customFormat="1" x14ac:dyDescent="0.2">
      <c r="A294" s="249" t="s">
        <v>68</v>
      </c>
      <c r="B294" s="250"/>
      <c r="C294" s="250"/>
      <c r="D294" s="250"/>
      <c r="E294" s="250"/>
      <c r="F294" s="250"/>
      <c r="G294" s="250"/>
      <c r="H294" s="250"/>
      <c r="I294" s="251"/>
      <c r="J294" s="176"/>
    </row>
    <row r="295" spans="1:10" s="31" customFormat="1" x14ac:dyDescent="0.2">
      <c r="A295" s="8">
        <v>14</v>
      </c>
      <c r="B295" s="20">
        <v>190000</v>
      </c>
      <c r="C295" s="230" t="s">
        <v>69</v>
      </c>
      <c r="D295" s="231"/>
      <c r="E295" s="231"/>
      <c r="F295" s="231"/>
      <c r="G295" s="231"/>
      <c r="H295" s="231"/>
      <c r="I295" s="232"/>
      <c r="J295" s="176"/>
    </row>
    <row r="296" spans="1:10" s="31" customFormat="1" x14ac:dyDescent="0.2">
      <c r="A296" s="29" t="s">
        <v>182</v>
      </c>
      <c r="B296" s="28">
        <v>190102</v>
      </c>
      <c r="C296" s="15" t="s">
        <v>408</v>
      </c>
      <c r="D296" s="63">
        <f>'Memória de Cálculo'!D397</f>
        <v>18.760000000000002</v>
      </c>
      <c r="E296" s="26" t="s">
        <v>34</v>
      </c>
      <c r="F296" s="199">
        <v>0</v>
      </c>
      <c r="G296" s="199">
        <v>0</v>
      </c>
      <c r="H296" s="199">
        <f>D296*(G296+F296)</f>
        <v>0</v>
      </c>
      <c r="I296" s="236"/>
      <c r="J296" s="176"/>
    </row>
    <row r="297" spans="1:10" s="7" customFormat="1" x14ac:dyDescent="0.2">
      <c r="A297" s="29" t="s">
        <v>239</v>
      </c>
      <c r="B297" s="28">
        <v>190201</v>
      </c>
      <c r="C297" s="15" t="s">
        <v>240</v>
      </c>
      <c r="D297" s="63">
        <f>'Memória de Cálculo'!D398</f>
        <v>5.8100000000000005</v>
      </c>
      <c r="E297" s="26" t="s">
        <v>34</v>
      </c>
      <c r="F297" s="199">
        <v>0</v>
      </c>
      <c r="G297" s="199">
        <v>0</v>
      </c>
      <c r="H297" s="199">
        <f>D297*(G297+F297)</f>
        <v>0</v>
      </c>
      <c r="I297" s="238"/>
      <c r="J297" s="176"/>
    </row>
    <row r="298" spans="1:10" s="7" customFormat="1" ht="12.75" customHeight="1" x14ac:dyDescent="0.2">
      <c r="A298" s="212" t="s">
        <v>22</v>
      </c>
      <c r="B298" s="213"/>
      <c r="C298" s="213"/>
      <c r="D298" s="213"/>
      <c r="E298" s="213"/>
      <c r="F298" s="213"/>
      <c r="G298" s="214"/>
      <c r="H298" s="110">
        <f>SUM(H296:H297)</f>
        <v>0</v>
      </c>
      <c r="I298" s="197">
        <f>H298+(H298*0.273)</f>
        <v>0</v>
      </c>
      <c r="J298" s="176"/>
    </row>
    <row r="299" spans="1:10" s="7" customFormat="1" x14ac:dyDescent="0.2">
      <c r="A299" s="249" t="s">
        <v>184</v>
      </c>
      <c r="B299" s="250"/>
      <c r="C299" s="250"/>
      <c r="D299" s="250"/>
      <c r="E299" s="250"/>
      <c r="F299" s="250"/>
      <c r="G299" s="250"/>
      <c r="H299" s="250"/>
      <c r="I299" s="251"/>
      <c r="J299" s="176"/>
    </row>
    <row r="300" spans="1:10" s="31" customFormat="1" x14ac:dyDescent="0.2">
      <c r="A300" s="8">
        <v>15</v>
      </c>
      <c r="B300" s="20">
        <v>200000</v>
      </c>
      <c r="C300" s="230" t="s">
        <v>183</v>
      </c>
      <c r="D300" s="231"/>
      <c r="E300" s="231"/>
      <c r="F300" s="231"/>
      <c r="G300" s="231"/>
      <c r="H300" s="231"/>
      <c r="I300" s="232"/>
      <c r="J300" s="176"/>
    </row>
    <row r="301" spans="1:10" s="31" customFormat="1" x14ac:dyDescent="0.2">
      <c r="A301" s="29" t="s">
        <v>191</v>
      </c>
      <c r="B301" s="161">
        <v>200499</v>
      </c>
      <c r="C301" s="52" t="s">
        <v>187</v>
      </c>
      <c r="D301" s="84">
        <f>'Memória de Cálculo'!D402</f>
        <v>1297.7271999999998</v>
      </c>
      <c r="E301" s="26" t="s">
        <v>34</v>
      </c>
      <c r="F301" s="199">
        <v>0</v>
      </c>
      <c r="G301" s="199">
        <v>0</v>
      </c>
      <c r="H301" s="199">
        <f>(F301+G301)*D301</f>
        <v>0</v>
      </c>
      <c r="I301" s="240"/>
      <c r="J301" s="176"/>
    </row>
    <row r="302" spans="1:10" s="31" customFormat="1" x14ac:dyDescent="0.2">
      <c r="A302" s="29" t="s">
        <v>192</v>
      </c>
      <c r="B302" s="161">
        <v>201302</v>
      </c>
      <c r="C302" s="52" t="s">
        <v>188</v>
      </c>
      <c r="D302" s="84">
        <f>'Memória de Cálculo'!D493</f>
        <v>119.8308</v>
      </c>
      <c r="E302" s="26" t="s">
        <v>34</v>
      </c>
      <c r="F302" s="199">
        <v>0</v>
      </c>
      <c r="G302" s="199">
        <v>0</v>
      </c>
      <c r="H302" s="199">
        <f>(F302+G302)*D302</f>
        <v>0</v>
      </c>
      <c r="I302" s="241"/>
      <c r="J302" s="176"/>
    </row>
    <row r="303" spans="1:10" s="31" customFormat="1" x14ac:dyDescent="0.2">
      <c r="A303" s="29" t="s">
        <v>193</v>
      </c>
      <c r="B303" s="161">
        <v>200101</v>
      </c>
      <c r="C303" s="52" t="s">
        <v>186</v>
      </c>
      <c r="D303" s="84">
        <f>'Memória de Cálculo'!D519</f>
        <v>1422.1280000000002</v>
      </c>
      <c r="E303" s="26" t="s">
        <v>34</v>
      </c>
      <c r="F303" s="199">
        <v>0</v>
      </c>
      <c r="G303" s="199">
        <v>0</v>
      </c>
      <c r="H303" s="199">
        <f>(F303+G303)*D303</f>
        <v>0</v>
      </c>
      <c r="I303" s="241"/>
      <c r="J303" s="176"/>
    </row>
    <row r="304" spans="1:10" s="7" customFormat="1" x14ac:dyDescent="0.2">
      <c r="A304" s="29" t="s">
        <v>194</v>
      </c>
      <c r="B304" s="161">
        <v>200201</v>
      </c>
      <c r="C304" s="52" t="s">
        <v>185</v>
      </c>
      <c r="D304" s="84">
        <f>'Memória de Cálculo'!D625</f>
        <v>119.8308</v>
      </c>
      <c r="E304" s="26" t="s">
        <v>34</v>
      </c>
      <c r="F304" s="199">
        <v>0</v>
      </c>
      <c r="G304" s="199">
        <v>0</v>
      </c>
      <c r="H304" s="199">
        <f>(F304+G304)*D304</f>
        <v>0</v>
      </c>
      <c r="I304" s="242"/>
      <c r="J304" s="176"/>
    </row>
    <row r="305" spans="1:10" s="7" customFormat="1" ht="12.75" customHeight="1" x14ac:dyDescent="0.2">
      <c r="A305" s="212" t="s">
        <v>22</v>
      </c>
      <c r="B305" s="213"/>
      <c r="C305" s="213"/>
      <c r="D305" s="213"/>
      <c r="E305" s="213"/>
      <c r="F305" s="213"/>
      <c r="G305" s="214"/>
      <c r="H305" s="110">
        <f>SUM(H301:H304)</f>
        <v>0</v>
      </c>
      <c r="I305" s="197">
        <f>H305+(H305*0.273)</f>
        <v>0</v>
      </c>
      <c r="J305" s="176"/>
    </row>
    <row r="306" spans="1:10" s="7" customFormat="1" x14ac:dyDescent="0.2">
      <c r="A306" s="249" t="s">
        <v>214</v>
      </c>
      <c r="B306" s="250"/>
      <c r="C306" s="250"/>
      <c r="D306" s="250"/>
      <c r="E306" s="250"/>
      <c r="F306" s="250"/>
      <c r="G306" s="250"/>
      <c r="H306" s="250"/>
      <c r="I306" s="251"/>
      <c r="J306" s="176"/>
    </row>
    <row r="307" spans="1:10" s="31" customFormat="1" x14ac:dyDescent="0.2">
      <c r="A307" s="8">
        <v>16</v>
      </c>
      <c r="B307" s="20">
        <v>210000</v>
      </c>
      <c r="C307" s="230" t="s">
        <v>215</v>
      </c>
      <c r="D307" s="231"/>
      <c r="E307" s="231"/>
      <c r="F307" s="231"/>
      <c r="G307" s="231"/>
      <c r="H307" s="231"/>
      <c r="I307" s="232"/>
      <c r="J307" s="176"/>
    </row>
    <row r="308" spans="1:10" s="7" customFormat="1" x14ac:dyDescent="0.2">
      <c r="A308" s="29" t="s">
        <v>195</v>
      </c>
      <c r="B308" s="28">
        <v>210503</v>
      </c>
      <c r="C308" s="51" t="s">
        <v>294</v>
      </c>
      <c r="D308" s="63">
        <v>174.51000000000002</v>
      </c>
      <c r="E308" s="26" t="s">
        <v>34</v>
      </c>
      <c r="F308" s="199">
        <v>0</v>
      </c>
      <c r="G308" s="199">
        <v>0</v>
      </c>
      <c r="H308" s="199">
        <f>D308*(G308+F308)</f>
        <v>0</v>
      </c>
      <c r="I308" s="30"/>
      <c r="J308" s="176"/>
    </row>
    <row r="309" spans="1:10" s="7" customFormat="1" ht="12.75" customHeight="1" x14ac:dyDescent="0.2">
      <c r="A309" s="212" t="s">
        <v>22</v>
      </c>
      <c r="B309" s="213"/>
      <c r="C309" s="213"/>
      <c r="D309" s="213"/>
      <c r="E309" s="213"/>
      <c r="F309" s="213"/>
      <c r="G309" s="214"/>
      <c r="H309" s="110">
        <f>SUM(H307:H308)</f>
        <v>0</v>
      </c>
      <c r="I309" s="197">
        <f>H309+(H309*0.273)</f>
        <v>0</v>
      </c>
      <c r="J309" s="176"/>
    </row>
    <row r="310" spans="1:10" s="7" customFormat="1" x14ac:dyDescent="0.2">
      <c r="A310" s="249" t="s">
        <v>216</v>
      </c>
      <c r="B310" s="250"/>
      <c r="C310" s="250"/>
      <c r="D310" s="250"/>
      <c r="E310" s="250"/>
      <c r="F310" s="250"/>
      <c r="G310" s="250"/>
      <c r="H310" s="250"/>
      <c r="I310" s="251"/>
      <c r="J310" s="176"/>
    </row>
    <row r="311" spans="1:10" s="41" customFormat="1" ht="12.75" customHeight="1" x14ac:dyDescent="0.2">
      <c r="A311" s="8">
        <v>17</v>
      </c>
      <c r="B311" s="20">
        <v>220000</v>
      </c>
      <c r="C311" s="230" t="s">
        <v>189</v>
      </c>
      <c r="D311" s="231"/>
      <c r="E311" s="231"/>
      <c r="F311" s="231"/>
      <c r="G311" s="231"/>
      <c r="H311" s="231"/>
      <c r="I311" s="232"/>
      <c r="J311" s="176"/>
    </row>
    <row r="312" spans="1:10" s="31" customFormat="1" x14ac:dyDescent="0.2">
      <c r="A312" s="22" t="s">
        <v>204</v>
      </c>
      <c r="B312" s="23">
        <v>220104</v>
      </c>
      <c r="C312" s="43" t="s">
        <v>196</v>
      </c>
      <c r="D312" s="68">
        <f>'Memória de Cálculo'!D658</f>
        <v>155.25624999999999</v>
      </c>
      <c r="E312" s="24" t="s">
        <v>34</v>
      </c>
      <c r="F312" s="199">
        <v>0</v>
      </c>
      <c r="G312" s="199">
        <v>0</v>
      </c>
      <c r="H312" s="199">
        <f>D312*(G312+F312)</f>
        <v>0</v>
      </c>
      <c r="I312" s="221"/>
      <c r="J312" s="176"/>
    </row>
    <row r="313" spans="1:10" s="31" customFormat="1" x14ac:dyDescent="0.2">
      <c r="A313" s="22" t="s">
        <v>227</v>
      </c>
      <c r="B313" s="28">
        <v>220309</v>
      </c>
      <c r="C313" s="15" t="s">
        <v>190</v>
      </c>
      <c r="D313" s="63">
        <v>192.95</v>
      </c>
      <c r="E313" s="26" t="s">
        <v>34</v>
      </c>
      <c r="F313" s="199">
        <v>0</v>
      </c>
      <c r="G313" s="199">
        <v>0</v>
      </c>
      <c r="H313" s="199">
        <f>D313*(G313+F313)</f>
        <v>0</v>
      </c>
      <c r="I313" s="222"/>
      <c r="J313" s="176"/>
    </row>
    <row r="314" spans="1:10" s="31" customFormat="1" x14ac:dyDescent="0.2">
      <c r="A314" s="22" t="s">
        <v>228</v>
      </c>
      <c r="B314" s="28">
        <v>220310</v>
      </c>
      <c r="C314" s="15" t="s">
        <v>430</v>
      </c>
      <c r="D314" s="63">
        <v>324.32</v>
      </c>
      <c r="E314" s="26" t="s">
        <v>33</v>
      </c>
      <c r="F314" s="199">
        <v>0</v>
      </c>
      <c r="G314" s="199">
        <v>0</v>
      </c>
      <c r="H314" s="199">
        <f>D314*(G314+F314)</f>
        <v>0</v>
      </c>
      <c r="I314" s="222"/>
      <c r="J314" s="176"/>
    </row>
    <row r="315" spans="1:10" s="31" customFormat="1" x14ac:dyDescent="0.2">
      <c r="A315" s="22" t="s">
        <v>572</v>
      </c>
      <c r="B315" s="28">
        <v>270232</v>
      </c>
      <c r="C315" s="15" t="s">
        <v>581</v>
      </c>
      <c r="D315" s="63">
        <v>33.57</v>
      </c>
      <c r="E315" s="26" t="s">
        <v>573</v>
      </c>
      <c r="F315" s="199">
        <v>0</v>
      </c>
      <c r="G315" s="199">
        <v>0</v>
      </c>
      <c r="H315" s="199">
        <f>D315*(G315+F315)</f>
        <v>0</v>
      </c>
      <c r="I315" s="222"/>
      <c r="J315" s="176"/>
    </row>
    <row r="316" spans="1:10" s="31" customFormat="1" x14ac:dyDescent="0.2">
      <c r="A316" s="22" t="s">
        <v>604</v>
      </c>
      <c r="B316" s="28">
        <v>220107</v>
      </c>
      <c r="C316" s="124" t="s">
        <v>949</v>
      </c>
      <c r="D316" s="63">
        <v>8</v>
      </c>
      <c r="E316" s="26" t="s">
        <v>35</v>
      </c>
      <c r="F316" s="199">
        <v>0</v>
      </c>
      <c r="G316" s="199">
        <v>0</v>
      </c>
      <c r="H316" s="199">
        <f>D316*(G316+F316)</f>
        <v>0</v>
      </c>
      <c r="I316" s="223"/>
      <c r="J316" s="176"/>
    </row>
    <row r="317" spans="1:10" s="31" customFormat="1" x14ac:dyDescent="0.2">
      <c r="A317" s="212" t="s">
        <v>22</v>
      </c>
      <c r="B317" s="213"/>
      <c r="C317" s="213"/>
      <c r="D317" s="213"/>
      <c r="E317" s="213"/>
      <c r="F317" s="213"/>
      <c r="G317" s="214"/>
      <c r="H317" s="110">
        <f>SUM(H312:H315)</f>
        <v>0</v>
      </c>
      <c r="I317" s="197">
        <f>H317+(H317*0.273)</f>
        <v>0</v>
      </c>
      <c r="J317" s="176"/>
    </row>
    <row r="318" spans="1:10" s="31" customFormat="1" x14ac:dyDescent="0.2">
      <c r="A318" s="249" t="s">
        <v>435</v>
      </c>
      <c r="B318" s="250"/>
      <c r="C318" s="250"/>
      <c r="D318" s="250"/>
      <c r="E318" s="250"/>
      <c r="F318" s="250"/>
      <c r="G318" s="250"/>
      <c r="H318" s="250"/>
      <c r="I318" s="251"/>
      <c r="J318" s="176"/>
    </row>
    <row r="319" spans="1:10" s="34" customFormat="1" x14ac:dyDescent="0.2">
      <c r="A319" s="19">
        <v>18</v>
      </c>
      <c r="B319" s="35">
        <v>230000</v>
      </c>
      <c r="C319" s="227" t="s">
        <v>436</v>
      </c>
      <c r="D319" s="228"/>
      <c r="E319" s="228"/>
      <c r="F319" s="228"/>
      <c r="G319" s="228"/>
      <c r="H319" s="228"/>
      <c r="I319" s="229"/>
      <c r="J319" s="176"/>
    </row>
    <row r="320" spans="1:10" s="31" customFormat="1" x14ac:dyDescent="0.2">
      <c r="A320" s="22" t="s">
        <v>205</v>
      </c>
      <c r="B320" s="28">
        <v>230207</v>
      </c>
      <c r="C320" s="15" t="s">
        <v>538</v>
      </c>
      <c r="D320" s="63">
        <v>12</v>
      </c>
      <c r="E320" s="26" t="s">
        <v>2</v>
      </c>
      <c r="F320" s="199">
        <v>0</v>
      </c>
      <c r="G320" s="199">
        <v>0</v>
      </c>
      <c r="H320" s="199">
        <f>(F320+G320)*D320</f>
        <v>0</v>
      </c>
      <c r="I320" s="236"/>
      <c r="J320" s="176"/>
    </row>
    <row r="321" spans="1:10" s="31" customFormat="1" ht="12.75" customHeight="1" x14ac:dyDescent="0.2">
      <c r="A321" s="22" t="s">
        <v>206</v>
      </c>
      <c r="B321" s="28">
        <v>230172</v>
      </c>
      <c r="C321" s="15" t="s">
        <v>539</v>
      </c>
      <c r="D321" s="63">
        <v>4</v>
      </c>
      <c r="E321" s="26" t="s">
        <v>2</v>
      </c>
      <c r="F321" s="199">
        <v>0</v>
      </c>
      <c r="G321" s="199">
        <v>0</v>
      </c>
      <c r="H321" s="199">
        <f t="shared" ref="H321:H326" si="10">(F321+G321)*D321</f>
        <v>0</v>
      </c>
      <c r="I321" s="237"/>
      <c r="J321" s="176"/>
    </row>
    <row r="322" spans="1:10" s="31" customFormat="1" x14ac:dyDescent="0.2">
      <c r="A322" s="22" t="s">
        <v>207</v>
      </c>
      <c r="B322" s="28">
        <v>230102</v>
      </c>
      <c r="C322" s="15" t="s">
        <v>540</v>
      </c>
      <c r="D322" s="63">
        <v>9</v>
      </c>
      <c r="E322" s="26" t="s">
        <v>2</v>
      </c>
      <c r="F322" s="199">
        <v>0</v>
      </c>
      <c r="G322" s="199">
        <v>0</v>
      </c>
      <c r="H322" s="199">
        <f t="shared" si="10"/>
        <v>0</v>
      </c>
      <c r="I322" s="237"/>
      <c r="J322" s="176"/>
    </row>
    <row r="323" spans="1:10" s="31" customFormat="1" x14ac:dyDescent="0.2">
      <c r="A323" s="22" t="s">
        <v>534</v>
      </c>
      <c r="B323" s="28">
        <v>230101</v>
      </c>
      <c r="C323" s="15" t="s">
        <v>541</v>
      </c>
      <c r="D323" s="63">
        <v>7</v>
      </c>
      <c r="E323" s="26" t="s">
        <v>2</v>
      </c>
      <c r="F323" s="199">
        <v>0</v>
      </c>
      <c r="G323" s="199">
        <v>0</v>
      </c>
      <c r="H323" s="199">
        <f t="shared" si="10"/>
        <v>0</v>
      </c>
      <c r="I323" s="237"/>
      <c r="J323" s="176"/>
    </row>
    <row r="324" spans="1:10" s="31" customFormat="1" x14ac:dyDescent="0.2">
      <c r="A324" s="22" t="s">
        <v>535</v>
      </c>
      <c r="B324" s="28">
        <v>230104</v>
      </c>
      <c r="C324" s="15" t="s">
        <v>542</v>
      </c>
      <c r="D324" s="63">
        <v>3</v>
      </c>
      <c r="E324" s="26" t="s">
        <v>2</v>
      </c>
      <c r="F324" s="199">
        <v>0</v>
      </c>
      <c r="G324" s="199">
        <v>0</v>
      </c>
      <c r="H324" s="199">
        <f t="shared" si="10"/>
        <v>0</v>
      </c>
      <c r="I324" s="237"/>
      <c r="J324" s="176"/>
    </row>
    <row r="325" spans="1:10" s="31" customFormat="1" x14ac:dyDescent="0.2">
      <c r="A325" s="22" t="s">
        <v>536</v>
      </c>
      <c r="B325" s="28">
        <v>230110</v>
      </c>
      <c r="C325" s="15" t="s">
        <v>543</v>
      </c>
      <c r="D325" s="63">
        <v>15</v>
      </c>
      <c r="E325" s="26" t="s">
        <v>2</v>
      </c>
      <c r="F325" s="199">
        <v>0</v>
      </c>
      <c r="G325" s="199">
        <v>0</v>
      </c>
      <c r="H325" s="199">
        <f t="shared" si="10"/>
        <v>0</v>
      </c>
      <c r="I325" s="237"/>
      <c r="J325" s="176"/>
    </row>
    <row r="326" spans="1:10" s="7" customFormat="1" x14ac:dyDescent="0.2">
      <c r="A326" s="22" t="s">
        <v>537</v>
      </c>
      <c r="B326" s="28">
        <v>230201</v>
      </c>
      <c r="C326" s="15" t="s">
        <v>544</v>
      </c>
      <c r="D326" s="63">
        <v>60</v>
      </c>
      <c r="E326" s="26" t="s">
        <v>2</v>
      </c>
      <c r="F326" s="199">
        <v>0</v>
      </c>
      <c r="G326" s="199">
        <v>0</v>
      </c>
      <c r="H326" s="199">
        <f t="shared" si="10"/>
        <v>0</v>
      </c>
      <c r="I326" s="238"/>
      <c r="J326" s="176"/>
    </row>
    <row r="327" spans="1:10" s="7" customFormat="1" ht="12.75" customHeight="1" x14ac:dyDescent="0.2">
      <c r="A327" s="212" t="s">
        <v>22</v>
      </c>
      <c r="B327" s="213"/>
      <c r="C327" s="213"/>
      <c r="D327" s="213"/>
      <c r="E327" s="213"/>
      <c r="F327" s="213"/>
      <c r="G327" s="214"/>
      <c r="H327" s="110">
        <f>SUM(H320:H326)</f>
        <v>0</v>
      </c>
      <c r="I327" s="197">
        <f>H327+(H327*0.273)</f>
        <v>0</v>
      </c>
      <c r="J327" s="176"/>
    </row>
    <row r="328" spans="1:10" s="7" customFormat="1" x14ac:dyDescent="0.2">
      <c r="A328" s="249" t="s">
        <v>229</v>
      </c>
      <c r="B328" s="250"/>
      <c r="C328" s="250"/>
      <c r="D328" s="250"/>
      <c r="E328" s="250"/>
      <c r="F328" s="250"/>
      <c r="G328" s="250"/>
      <c r="H328" s="250"/>
      <c r="I328" s="251"/>
      <c r="J328" s="176"/>
    </row>
    <row r="329" spans="1:10" s="7" customFormat="1" x14ac:dyDescent="0.2">
      <c r="A329" s="8">
        <v>19</v>
      </c>
      <c r="B329" s="20">
        <v>250000</v>
      </c>
      <c r="C329" s="230" t="s">
        <v>230</v>
      </c>
      <c r="D329" s="231"/>
      <c r="E329" s="231"/>
      <c r="F329" s="231"/>
      <c r="G329" s="231"/>
      <c r="H329" s="231"/>
      <c r="I329" s="232"/>
      <c r="J329" s="176"/>
    </row>
    <row r="330" spans="1:10" s="31" customFormat="1" x14ac:dyDescent="0.2">
      <c r="A330" s="27" t="s">
        <v>234</v>
      </c>
      <c r="B330" s="28">
        <v>250103</v>
      </c>
      <c r="C330" s="15" t="s">
        <v>232</v>
      </c>
      <c r="D330" s="153">
        <f>'Memória de Cálculo'!D686</f>
        <v>1232</v>
      </c>
      <c r="E330" s="26" t="s">
        <v>231</v>
      </c>
      <c r="F330" s="199">
        <v>0</v>
      </c>
      <c r="G330" s="199">
        <v>0</v>
      </c>
      <c r="H330" s="199">
        <f>D330*(G330+F330)</f>
        <v>0</v>
      </c>
      <c r="I330" s="222"/>
      <c r="J330" s="176"/>
    </row>
    <row r="331" spans="1:10" s="31" customFormat="1" x14ac:dyDescent="0.2">
      <c r="A331" s="27" t="s">
        <v>235</v>
      </c>
      <c r="B331" s="28">
        <v>250104</v>
      </c>
      <c r="C331" s="124" t="s">
        <v>863</v>
      </c>
      <c r="D331" s="153">
        <f>'Memória de Cálculo'!D687</f>
        <v>448</v>
      </c>
      <c r="E331" s="26" t="s">
        <v>231</v>
      </c>
      <c r="F331" s="199">
        <v>0</v>
      </c>
      <c r="G331" s="199">
        <v>0</v>
      </c>
      <c r="H331" s="199">
        <f>D331*(G331+F331)</f>
        <v>0</v>
      </c>
      <c r="I331" s="222"/>
      <c r="J331" s="176"/>
    </row>
    <row r="332" spans="1:10" s="7" customFormat="1" x14ac:dyDescent="0.2">
      <c r="A332" s="27" t="s">
        <v>934</v>
      </c>
      <c r="B332" s="28">
        <v>250111</v>
      </c>
      <c r="C332" s="15" t="s">
        <v>233</v>
      </c>
      <c r="D332" s="153">
        <f>'Memória de Cálculo'!D688</f>
        <v>1372</v>
      </c>
      <c r="E332" s="100" t="s">
        <v>231</v>
      </c>
      <c r="F332" s="199">
        <v>0</v>
      </c>
      <c r="G332" s="199">
        <v>0</v>
      </c>
      <c r="H332" s="199">
        <f>D332*(G332+F332)</f>
        <v>0</v>
      </c>
      <c r="I332" s="223"/>
      <c r="J332" s="176"/>
    </row>
    <row r="333" spans="1:10" s="7" customFormat="1" ht="12.75" customHeight="1" x14ac:dyDescent="0.2">
      <c r="A333" s="212" t="s">
        <v>22</v>
      </c>
      <c r="B333" s="213"/>
      <c r="C333" s="213"/>
      <c r="D333" s="213"/>
      <c r="E333" s="213"/>
      <c r="F333" s="213"/>
      <c r="G333" s="214"/>
      <c r="H333" s="110">
        <f>SUM(H330:H332)</f>
        <v>0</v>
      </c>
      <c r="I333" s="197">
        <f>H333+(H333*0.273)</f>
        <v>0</v>
      </c>
      <c r="J333" s="176"/>
    </row>
    <row r="334" spans="1:10" s="7" customFormat="1" x14ac:dyDescent="0.2">
      <c r="A334" s="249" t="s">
        <v>197</v>
      </c>
      <c r="B334" s="250"/>
      <c r="C334" s="250"/>
      <c r="D334" s="250"/>
      <c r="E334" s="250"/>
      <c r="F334" s="250"/>
      <c r="G334" s="250"/>
      <c r="H334" s="250"/>
      <c r="I334" s="251"/>
      <c r="J334" s="176"/>
    </row>
    <row r="335" spans="1:10" s="31" customFormat="1" x14ac:dyDescent="0.2">
      <c r="A335" s="8">
        <v>20</v>
      </c>
      <c r="B335" s="20">
        <v>260000</v>
      </c>
      <c r="C335" s="230" t="s">
        <v>208</v>
      </c>
      <c r="D335" s="231"/>
      <c r="E335" s="231"/>
      <c r="F335" s="231"/>
      <c r="G335" s="231"/>
      <c r="H335" s="231"/>
      <c r="I335" s="232"/>
      <c r="J335" s="176"/>
    </row>
    <row r="336" spans="1:10" s="7" customFormat="1" x14ac:dyDescent="0.2">
      <c r="A336" s="29" t="s">
        <v>236</v>
      </c>
      <c r="B336" s="48">
        <v>261000</v>
      </c>
      <c r="C336" s="52" t="s">
        <v>209</v>
      </c>
      <c r="D336" s="84">
        <f>'Memória de Cálculo'!D692</f>
        <v>1298.0431000000001</v>
      </c>
      <c r="E336" s="26" t="s">
        <v>34</v>
      </c>
      <c r="F336" s="196">
        <v>0</v>
      </c>
      <c r="G336" s="196">
        <v>0</v>
      </c>
      <c r="H336" s="196">
        <f>(G336+F336)*D336</f>
        <v>0</v>
      </c>
      <c r="I336" s="287"/>
      <c r="J336" s="176"/>
    </row>
    <row r="337" spans="1:10" s="7" customFormat="1" x14ac:dyDescent="0.2">
      <c r="A337" s="29" t="s">
        <v>237</v>
      </c>
      <c r="B337" s="48">
        <v>261550</v>
      </c>
      <c r="C337" s="1" t="s">
        <v>1088</v>
      </c>
      <c r="D337" s="84">
        <f>'Memória de Cálculo'!D783</f>
        <v>178.97000000000006</v>
      </c>
      <c r="E337" s="26" t="s">
        <v>34</v>
      </c>
      <c r="F337" s="196">
        <v>0</v>
      </c>
      <c r="G337" s="196">
        <v>0</v>
      </c>
      <c r="H337" s="196">
        <f>(G337+F337)*D337</f>
        <v>0</v>
      </c>
      <c r="I337" s="288"/>
      <c r="J337" s="176"/>
    </row>
    <row r="338" spans="1:10" s="7" customFormat="1" x14ac:dyDescent="0.2">
      <c r="A338" s="29" t="s">
        <v>238</v>
      </c>
      <c r="B338" s="161">
        <v>261502</v>
      </c>
      <c r="C338" s="124" t="s">
        <v>953</v>
      </c>
      <c r="D338" s="84">
        <f>'Memória de Cálculo'!D817</f>
        <v>76.05</v>
      </c>
      <c r="E338" s="26" t="s">
        <v>34</v>
      </c>
      <c r="F338" s="196">
        <v>0</v>
      </c>
      <c r="G338" s="196">
        <v>0</v>
      </c>
      <c r="H338" s="196">
        <f>(G338+F338)*D338</f>
        <v>0</v>
      </c>
      <c r="I338" s="288"/>
      <c r="J338" s="176"/>
    </row>
    <row r="339" spans="1:10" s="7" customFormat="1" x14ac:dyDescent="0.2">
      <c r="A339" s="29" t="s">
        <v>1092</v>
      </c>
      <c r="B339" s="161">
        <v>261602</v>
      </c>
      <c r="C339" s="124" t="s">
        <v>954</v>
      </c>
      <c r="D339" s="84">
        <f>'Memória de Cálculo'!D818</f>
        <v>51.525000000000006</v>
      </c>
      <c r="E339" s="26" t="s">
        <v>34</v>
      </c>
      <c r="F339" s="196">
        <v>0</v>
      </c>
      <c r="G339" s="196">
        <v>0</v>
      </c>
      <c r="H339" s="196">
        <f>(G339+F339)*D339</f>
        <v>0</v>
      </c>
      <c r="I339" s="289"/>
      <c r="J339" s="176"/>
    </row>
    <row r="340" spans="1:10" s="7" customFormat="1" ht="12.75" customHeight="1" x14ac:dyDescent="0.2">
      <c r="A340" s="212" t="s">
        <v>22</v>
      </c>
      <c r="B340" s="213"/>
      <c r="C340" s="213"/>
      <c r="D340" s="213"/>
      <c r="E340" s="213"/>
      <c r="F340" s="213"/>
      <c r="G340" s="214"/>
      <c r="H340" s="110">
        <f>SUM(H336:H339)</f>
        <v>0</v>
      </c>
      <c r="I340" s="197">
        <f>H340+(H340*0.273)</f>
        <v>0</v>
      </c>
      <c r="J340" s="176"/>
    </row>
    <row r="341" spans="1:10" s="7" customFormat="1" x14ac:dyDescent="0.2">
      <c r="A341" s="256" t="s">
        <v>111</v>
      </c>
      <c r="B341" s="257"/>
      <c r="C341" s="257"/>
      <c r="D341" s="257"/>
      <c r="E341" s="257"/>
      <c r="F341" s="257"/>
      <c r="G341" s="257"/>
      <c r="H341" s="257"/>
      <c r="I341" s="258"/>
      <c r="J341" s="176"/>
    </row>
    <row r="342" spans="1:10" s="7" customFormat="1" x14ac:dyDescent="0.2">
      <c r="A342" s="19">
        <v>21</v>
      </c>
      <c r="B342" s="20">
        <v>270000</v>
      </c>
      <c r="C342" s="252" t="s">
        <v>112</v>
      </c>
      <c r="D342" s="252"/>
      <c r="E342" s="252"/>
      <c r="F342" s="252"/>
      <c r="G342" s="252"/>
      <c r="H342" s="252"/>
      <c r="I342" s="253"/>
      <c r="J342" s="176"/>
    </row>
    <row r="343" spans="1:10" s="7" customFormat="1" x14ac:dyDescent="0.2">
      <c r="A343" s="22" t="s">
        <v>935</v>
      </c>
      <c r="B343" s="23">
        <v>270702</v>
      </c>
      <c r="C343" s="43" t="s">
        <v>607</v>
      </c>
      <c r="D343" s="68">
        <v>105.26</v>
      </c>
      <c r="E343" s="24" t="s">
        <v>33</v>
      </c>
      <c r="F343" s="199">
        <v>0</v>
      </c>
      <c r="G343" s="199">
        <v>0</v>
      </c>
      <c r="H343" s="199">
        <f>D343*(F343+G343)</f>
        <v>0</v>
      </c>
      <c r="I343" s="239"/>
      <c r="J343" s="176"/>
    </row>
    <row r="344" spans="1:10" s="7" customFormat="1" ht="25.5" x14ac:dyDescent="0.2">
      <c r="A344" s="22" t="s">
        <v>936</v>
      </c>
      <c r="B344" s="23">
        <v>270621</v>
      </c>
      <c r="C344" s="7" t="s">
        <v>1045</v>
      </c>
      <c r="D344" s="68">
        <f>'Memória de Cálculo'!D825</f>
        <v>121.533</v>
      </c>
      <c r="E344" s="24" t="s">
        <v>34</v>
      </c>
      <c r="F344" s="199">
        <v>0</v>
      </c>
      <c r="G344" s="199">
        <v>0</v>
      </c>
      <c r="H344" s="199">
        <f>D344*(F344+G344)</f>
        <v>0</v>
      </c>
      <c r="I344" s="239"/>
      <c r="J344" s="176"/>
    </row>
    <row r="345" spans="1:10" s="31" customFormat="1" x14ac:dyDescent="0.2">
      <c r="A345" s="22" t="s">
        <v>937</v>
      </c>
      <c r="B345" s="23">
        <v>270501</v>
      </c>
      <c r="C345" s="43" t="s">
        <v>211</v>
      </c>
      <c r="D345" s="68">
        <v>312.26</v>
      </c>
      <c r="E345" s="24" t="s">
        <v>34</v>
      </c>
      <c r="F345" s="199">
        <v>0</v>
      </c>
      <c r="G345" s="199">
        <v>0</v>
      </c>
      <c r="H345" s="199">
        <f t="shared" ref="H345:H350" si="11">D345*(G345+F345)</f>
        <v>0</v>
      </c>
      <c r="I345" s="239"/>
      <c r="J345" s="176"/>
    </row>
    <row r="346" spans="1:10" s="31" customFormat="1" x14ac:dyDescent="0.2">
      <c r="A346" s="22" t="s">
        <v>938</v>
      </c>
      <c r="B346" s="28">
        <v>271605</v>
      </c>
      <c r="C346" s="15" t="s">
        <v>113</v>
      </c>
      <c r="D346" s="63">
        <v>14</v>
      </c>
      <c r="E346" s="26" t="s">
        <v>2</v>
      </c>
      <c r="F346" s="199">
        <v>0</v>
      </c>
      <c r="G346" s="199">
        <v>0</v>
      </c>
      <c r="H346" s="199">
        <f t="shared" si="11"/>
        <v>0</v>
      </c>
      <c r="I346" s="239"/>
      <c r="J346" s="176"/>
    </row>
    <row r="347" spans="1:10" s="31" customFormat="1" x14ac:dyDescent="0.2">
      <c r="A347" s="22" t="s">
        <v>939</v>
      </c>
      <c r="B347" s="28">
        <v>270810</v>
      </c>
      <c r="C347" s="15" t="s">
        <v>210</v>
      </c>
      <c r="D347" s="63">
        <v>1</v>
      </c>
      <c r="E347" s="26" t="s">
        <v>2</v>
      </c>
      <c r="F347" s="199">
        <v>0</v>
      </c>
      <c r="G347" s="199">
        <v>0</v>
      </c>
      <c r="H347" s="199">
        <f t="shared" si="11"/>
        <v>0</v>
      </c>
      <c r="I347" s="239"/>
      <c r="J347" s="176"/>
    </row>
    <row r="348" spans="1:10" s="31" customFormat="1" x14ac:dyDescent="0.2">
      <c r="A348" s="22" t="s">
        <v>940</v>
      </c>
      <c r="B348" s="28">
        <v>270210</v>
      </c>
      <c r="C348" s="124" t="s">
        <v>947</v>
      </c>
      <c r="D348" s="63">
        <f>'Memória de Cálculo'!D831</f>
        <v>149.82999999999998</v>
      </c>
      <c r="E348" s="26" t="s">
        <v>34</v>
      </c>
      <c r="F348" s="199">
        <v>0</v>
      </c>
      <c r="G348" s="199">
        <v>0</v>
      </c>
      <c r="H348" s="199">
        <f t="shared" si="11"/>
        <v>0</v>
      </c>
      <c r="I348" s="239"/>
      <c r="J348" s="176"/>
    </row>
    <row r="349" spans="1:10" s="31" customFormat="1" ht="25.5" x14ac:dyDescent="0.2">
      <c r="A349" s="22" t="s">
        <v>963</v>
      </c>
      <c r="B349" s="28">
        <v>270211</v>
      </c>
      <c r="C349" s="133" t="s">
        <v>948</v>
      </c>
      <c r="D349" s="63">
        <v>10</v>
      </c>
      <c r="E349" s="26" t="s">
        <v>2</v>
      </c>
      <c r="F349" s="199">
        <v>0</v>
      </c>
      <c r="G349" s="199">
        <v>0</v>
      </c>
      <c r="H349" s="199">
        <f t="shared" si="11"/>
        <v>0</v>
      </c>
      <c r="I349" s="239"/>
      <c r="J349" s="176"/>
    </row>
    <row r="350" spans="1:10" s="7" customFormat="1" x14ac:dyDescent="0.2">
      <c r="A350" s="22" t="s">
        <v>1046</v>
      </c>
      <c r="B350" s="28">
        <v>271608</v>
      </c>
      <c r="C350" s="15" t="s">
        <v>212</v>
      </c>
      <c r="D350" s="63">
        <f>'Memória de Cálculo'!D836</f>
        <v>11.3</v>
      </c>
      <c r="E350" s="26" t="s">
        <v>34</v>
      </c>
      <c r="F350" s="199">
        <v>0</v>
      </c>
      <c r="G350" s="199">
        <v>0</v>
      </c>
      <c r="H350" s="199">
        <f t="shared" si="11"/>
        <v>0</v>
      </c>
      <c r="I350" s="239"/>
      <c r="J350" s="176"/>
    </row>
    <row r="351" spans="1:10" s="7" customFormat="1" x14ac:dyDescent="0.2">
      <c r="A351" s="259" t="s">
        <v>22</v>
      </c>
      <c r="B351" s="260"/>
      <c r="C351" s="260"/>
      <c r="D351" s="260"/>
      <c r="E351" s="260"/>
      <c r="F351" s="260"/>
      <c r="G351" s="261"/>
      <c r="H351" s="115">
        <f>SUM(H343:H350)</f>
        <v>0</v>
      </c>
      <c r="I351" s="197">
        <f>H351+(H351*0.273)</f>
        <v>0</v>
      </c>
      <c r="J351" s="176"/>
    </row>
    <row r="352" spans="1:10" s="7" customFormat="1" ht="6.75" customHeight="1" thickBot="1" x14ac:dyDescent="0.25">
      <c r="A352" s="281"/>
      <c r="B352" s="282"/>
      <c r="C352" s="282"/>
      <c r="D352" s="282"/>
      <c r="E352" s="282"/>
      <c r="F352" s="282"/>
      <c r="G352" s="282"/>
      <c r="H352" s="282"/>
      <c r="I352" s="283"/>
      <c r="J352" s="176"/>
    </row>
    <row r="353" spans="1:10" s="7" customFormat="1" ht="12.75" customHeight="1" thickBot="1" x14ac:dyDescent="0.25">
      <c r="A353" s="284" t="s">
        <v>867</v>
      </c>
      <c r="B353" s="285"/>
      <c r="C353" s="285"/>
      <c r="D353" s="285"/>
      <c r="E353" s="285"/>
      <c r="F353" s="285"/>
      <c r="G353" s="285"/>
      <c r="H353" s="285"/>
      <c r="I353" s="286"/>
      <c r="J353" s="176"/>
    </row>
    <row r="354" spans="1:10" s="7" customFormat="1" x14ac:dyDescent="0.2">
      <c r="A354" s="254" t="s">
        <v>3</v>
      </c>
      <c r="B354" s="255"/>
      <c r="C354" s="255"/>
      <c r="D354" s="255"/>
      <c r="E354" s="255"/>
      <c r="F354" s="255"/>
      <c r="G354" s="255"/>
      <c r="H354" s="207">
        <f>SUM(H20,H317,H24,H30,H42,H55,H127,H245,H250,H254,H258,H262,H271,H293,H298,H309,H327,H333,H340,H351,H279,H305)</f>
        <v>0</v>
      </c>
      <c r="I354" s="179"/>
      <c r="J354" s="176"/>
    </row>
    <row r="355" spans="1:10" s="7" customFormat="1" x14ac:dyDescent="0.2">
      <c r="A355" s="212" t="s">
        <v>411</v>
      </c>
      <c r="B355" s="213"/>
      <c r="C355" s="213"/>
      <c r="D355" s="213"/>
      <c r="E355" s="213"/>
      <c r="F355" s="213"/>
      <c r="G355" s="214"/>
      <c r="H355" s="204">
        <f>(H354*0.273)</f>
        <v>0</v>
      </c>
      <c r="I355" s="180"/>
      <c r="J355" s="176"/>
    </row>
    <row r="356" spans="1:10" ht="13.5" thickBot="1" x14ac:dyDescent="0.25">
      <c r="A356" s="209" t="s">
        <v>217</v>
      </c>
      <c r="B356" s="210"/>
      <c r="C356" s="210"/>
      <c r="D356" s="210"/>
      <c r="E356" s="210"/>
      <c r="F356" s="210"/>
      <c r="G356" s="211"/>
      <c r="H356" s="205">
        <f>SUM(H354,H355)</f>
        <v>0</v>
      </c>
      <c r="I356" s="206">
        <f>SUM(I20,I24,I30,I55,I127,I245,I250,I271,I293,I254,L258,I262,I317,I298,I258,I305,I327,I333,I340,I351,I309,I279,I42)</f>
        <v>0</v>
      </c>
      <c r="J356" s="176"/>
    </row>
    <row r="357" spans="1:10" x14ac:dyDescent="0.2">
      <c r="A357" s="173"/>
      <c r="B357" s="49"/>
      <c r="C357" s="96"/>
      <c r="D357" s="108"/>
      <c r="E357" s="101"/>
      <c r="F357" s="116"/>
      <c r="G357" s="116"/>
      <c r="H357" s="117"/>
      <c r="I357" s="174"/>
    </row>
    <row r="361" spans="1:10" x14ac:dyDescent="0.2">
      <c r="C361" s="97"/>
    </row>
  </sheetData>
  <sheetProtection password="D8A0" sheet="1"/>
  <mergeCells count="110">
    <mergeCell ref="A340:G340"/>
    <mergeCell ref="A306:I306"/>
    <mergeCell ref="A10:I10"/>
    <mergeCell ref="C130:I130"/>
    <mergeCell ref="A352:I352"/>
    <mergeCell ref="A353:I353"/>
    <mergeCell ref="I336:I339"/>
    <mergeCell ref="C11:I11"/>
    <mergeCell ref="C44:I44"/>
    <mergeCell ref="C319:I319"/>
    <mergeCell ref="A21:I21"/>
    <mergeCell ref="A25:I25"/>
    <mergeCell ref="A128:I128"/>
    <mergeCell ref="I282:I292"/>
    <mergeCell ref="C307:I307"/>
    <mergeCell ref="A258:G258"/>
    <mergeCell ref="A8:I8"/>
    <mergeCell ref="A127:G127"/>
    <mergeCell ref="A263:I263"/>
    <mergeCell ref="A250:G250"/>
    <mergeCell ref="A30:G30"/>
    <mergeCell ref="I132:I244"/>
    <mergeCell ref="C32:I32"/>
    <mergeCell ref="C149:H149"/>
    <mergeCell ref="A43:I43"/>
    <mergeCell ref="A24:G24"/>
    <mergeCell ref="A55:G55"/>
    <mergeCell ref="A298:G298"/>
    <mergeCell ref="A271:G271"/>
    <mergeCell ref="C281:I281"/>
    <mergeCell ref="A56:I56"/>
    <mergeCell ref="A246:I246"/>
    <mergeCell ref="C138:H138"/>
    <mergeCell ref="I248:I249"/>
    <mergeCell ref="A272:I272"/>
    <mergeCell ref="A279:G279"/>
    <mergeCell ref="A294:I294"/>
    <mergeCell ref="A299:I299"/>
    <mergeCell ref="C166:H166"/>
    <mergeCell ref="C165:H165"/>
    <mergeCell ref="C252:I252"/>
    <mergeCell ref="A42:G42"/>
    <mergeCell ref="A1:I1"/>
    <mergeCell ref="A2:I2"/>
    <mergeCell ref="A3:I3"/>
    <mergeCell ref="A4:I4"/>
    <mergeCell ref="A5:I5"/>
    <mergeCell ref="C26:I26"/>
    <mergeCell ref="C22:I22"/>
    <mergeCell ref="A20:G20"/>
    <mergeCell ref="A31:I31"/>
    <mergeCell ref="A327:G327"/>
    <mergeCell ref="A328:I328"/>
    <mergeCell ref="A333:G333"/>
    <mergeCell ref="C247:I247"/>
    <mergeCell ref="I296:I297"/>
    <mergeCell ref="A259:I259"/>
    <mergeCell ref="C260:I260"/>
    <mergeCell ref="A305:G305"/>
    <mergeCell ref="A309:G309"/>
    <mergeCell ref="A310:I310"/>
    <mergeCell ref="C342:I342"/>
    <mergeCell ref="A354:G354"/>
    <mergeCell ref="A318:I318"/>
    <mergeCell ref="A280:I280"/>
    <mergeCell ref="A341:I341"/>
    <mergeCell ref="A351:G351"/>
    <mergeCell ref="C329:I329"/>
    <mergeCell ref="C311:I311"/>
    <mergeCell ref="A334:I334"/>
    <mergeCell ref="C159:H159"/>
    <mergeCell ref="C264:I264"/>
    <mergeCell ref="A255:I255"/>
    <mergeCell ref="C256:I256"/>
    <mergeCell ref="A262:G262"/>
    <mergeCell ref="C144:H144"/>
    <mergeCell ref="C243:H243"/>
    <mergeCell ref="A245:G245"/>
    <mergeCell ref="C174:H174"/>
    <mergeCell ref="C169:H169"/>
    <mergeCell ref="A293:G293"/>
    <mergeCell ref="C300:I300"/>
    <mergeCell ref="C295:I295"/>
    <mergeCell ref="C273:I273"/>
    <mergeCell ref="C335:I335"/>
    <mergeCell ref="A6:I6"/>
    <mergeCell ref="A7:I7"/>
    <mergeCell ref="A317:G317"/>
    <mergeCell ref="A251:I251"/>
    <mergeCell ref="C153:H153"/>
    <mergeCell ref="A355:G355"/>
    <mergeCell ref="C229:H229"/>
    <mergeCell ref="C223:H223"/>
    <mergeCell ref="I320:I326"/>
    <mergeCell ref="I330:I332"/>
    <mergeCell ref="I274:I278"/>
    <mergeCell ref="I312:I316"/>
    <mergeCell ref="I343:I350"/>
    <mergeCell ref="I301:I304"/>
    <mergeCell ref="I265:I270"/>
    <mergeCell ref="A356:G356"/>
    <mergeCell ref="A254:G254"/>
    <mergeCell ref="I12:I19"/>
    <mergeCell ref="I27:I29"/>
    <mergeCell ref="I33:I41"/>
    <mergeCell ref="I45:I54"/>
    <mergeCell ref="I58:I126"/>
    <mergeCell ref="C238:H238"/>
    <mergeCell ref="C234:H234"/>
    <mergeCell ref="C57:I57"/>
  </mergeCells>
  <phoneticPr fontId="2" type="noConversion"/>
  <printOptions horizontalCentered="1"/>
  <pageMargins left="0.7" right="0.7" top="0.75" bottom="0.75" header="0.3" footer="0.3"/>
  <pageSetup paperSize="9" scale="77" fitToHeight="0" orientation="landscape" horizontalDpi="300" verticalDpi="300" r:id="rId1"/>
  <headerFooter alignWithMargins="0"/>
  <rowBreaks count="1" manualBreakCount="1">
    <brk id="302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pageSetUpPr fitToPage="1"/>
  </sheetPr>
  <dimension ref="A1:F849"/>
  <sheetViews>
    <sheetView tabSelected="1" zoomScaleNormal="100" zoomScaleSheetLayoutView="115" workbookViewId="0">
      <selection activeCell="A13" sqref="A13"/>
    </sheetView>
  </sheetViews>
  <sheetFormatPr defaultRowHeight="12.75" x14ac:dyDescent="0.2"/>
  <cols>
    <col min="1" max="1" width="6.7109375" style="169" customWidth="1"/>
    <col min="2" max="2" width="67.28515625" style="41" customWidth="1"/>
    <col min="3" max="3" width="9.28515625" style="92" customWidth="1"/>
    <col min="4" max="4" width="13.140625" style="92" bestFit="1" customWidth="1"/>
    <col min="5" max="5" width="57.140625" style="148" customWidth="1"/>
    <col min="7" max="16384" width="9.140625" style="11"/>
  </cols>
  <sheetData>
    <row r="1" spans="1:6" x14ac:dyDescent="0.2">
      <c r="A1" s="321"/>
      <c r="B1" s="322"/>
      <c r="C1" s="322"/>
      <c r="D1" s="322"/>
      <c r="E1" s="323"/>
    </row>
    <row r="2" spans="1:6" x14ac:dyDescent="0.2">
      <c r="A2" s="324" t="s">
        <v>7</v>
      </c>
      <c r="B2" s="325"/>
      <c r="C2" s="325"/>
      <c r="D2" s="325"/>
      <c r="E2" s="326"/>
    </row>
    <row r="3" spans="1:6" x14ac:dyDescent="0.2">
      <c r="A3" s="324" t="s">
        <v>9</v>
      </c>
      <c r="B3" s="325"/>
      <c r="C3" s="325"/>
      <c r="D3" s="325"/>
      <c r="E3" s="326"/>
    </row>
    <row r="4" spans="1:6" x14ac:dyDescent="0.2">
      <c r="A4" s="324" t="s">
        <v>244</v>
      </c>
      <c r="B4" s="325"/>
      <c r="C4" s="325"/>
      <c r="D4" s="325"/>
      <c r="E4" s="326"/>
    </row>
    <row r="5" spans="1:6" x14ac:dyDescent="0.2">
      <c r="A5" s="324" t="s">
        <v>605</v>
      </c>
      <c r="B5" s="327"/>
      <c r="C5" s="327"/>
      <c r="D5" s="327"/>
      <c r="E5" s="328"/>
    </row>
    <row r="6" spans="1:6" s="12" customFormat="1" x14ac:dyDescent="0.2">
      <c r="A6" s="324" t="s">
        <v>1106</v>
      </c>
      <c r="B6" s="325"/>
      <c r="C6" s="325"/>
      <c r="D6" s="325"/>
      <c r="E6" s="326"/>
      <c r="F6"/>
    </row>
    <row r="7" spans="1:6" ht="13.5" thickBot="1" x14ac:dyDescent="0.25">
      <c r="A7" s="332" t="s">
        <v>1107</v>
      </c>
      <c r="B7" s="333"/>
      <c r="C7" s="333"/>
      <c r="D7" s="333"/>
      <c r="E7" s="334"/>
    </row>
    <row r="8" spans="1:6" x14ac:dyDescent="0.2">
      <c r="A8" s="335" t="s">
        <v>1106</v>
      </c>
      <c r="B8" s="336"/>
      <c r="C8" s="336"/>
      <c r="D8" s="336"/>
      <c r="E8" s="337"/>
    </row>
    <row r="9" spans="1:6" ht="13.5" thickBot="1" x14ac:dyDescent="0.25">
      <c r="A9" s="338"/>
      <c r="B9" s="339"/>
      <c r="C9" s="339"/>
      <c r="D9" s="339"/>
      <c r="E9" s="340"/>
    </row>
    <row r="10" spans="1:6" ht="18" customHeight="1" x14ac:dyDescent="0.2">
      <c r="A10" s="8" t="s">
        <v>0</v>
      </c>
      <c r="B10" s="2" t="s">
        <v>27</v>
      </c>
      <c r="C10" s="143" t="s">
        <v>220</v>
      </c>
      <c r="D10" s="14" t="s">
        <v>221</v>
      </c>
      <c r="E10" s="3" t="s">
        <v>26</v>
      </c>
    </row>
    <row r="11" spans="1:6" x14ac:dyDescent="0.2">
      <c r="A11" s="341" t="s">
        <v>13</v>
      </c>
      <c r="B11" s="342"/>
      <c r="C11" s="342"/>
      <c r="D11" s="342"/>
      <c r="E11" s="343"/>
    </row>
    <row r="12" spans="1:6" s="12" customFormat="1" x14ac:dyDescent="0.2">
      <c r="A12" s="4">
        <v>1</v>
      </c>
      <c r="B12" s="263" t="s">
        <v>14</v>
      </c>
      <c r="C12" s="264"/>
      <c r="D12" s="264"/>
      <c r="E12" s="280"/>
      <c r="F12"/>
    </row>
    <row r="13" spans="1:6" ht="25.5" x14ac:dyDescent="0.2">
      <c r="A13" s="9" t="s">
        <v>409</v>
      </c>
      <c r="B13" s="17" t="str">
        <f>Orçamento!C12</f>
        <v>FERRAMENTAS (MANUAIS/ELÉTRICAS) E MATERIAL DE LIMPEZA PERMANENTE DA OBRA - ÁREAS EDIFICADAS/COBERTAS/FECHADAS</v>
      </c>
      <c r="C13" s="5" t="str">
        <f>Orçamento!E12</f>
        <v>M2</v>
      </c>
      <c r="D13" s="78">
        <f>Orçamento!D12</f>
        <v>312.26</v>
      </c>
      <c r="E13" s="65" t="s">
        <v>615</v>
      </c>
    </row>
    <row r="14" spans="1:6" x14ac:dyDescent="0.2">
      <c r="A14" s="9" t="s">
        <v>4</v>
      </c>
      <c r="B14" s="41" t="s">
        <v>18</v>
      </c>
      <c r="C14" s="5" t="str">
        <f>Orçamento!E13</f>
        <v>M2</v>
      </c>
      <c r="D14" s="78">
        <f>Orçamento!D13</f>
        <v>1200</v>
      </c>
      <c r="E14" s="65" t="s">
        <v>616</v>
      </c>
    </row>
    <row r="15" spans="1:6" ht="69.75" customHeight="1" x14ac:dyDescent="0.2">
      <c r="A15" s="9" t="s">
        <v>10</v>
      </c>
      <c r="B15" s="17" t="str">
        <f>Orçamento!C14</f>
        <v>BARRACÃO DE OBRAS PADRÃO AGETOP/2014 ( BLOCOS,COBERTURAS,PASSARELAS E MÓVEIS), SEM ALOJAMENTO E LAVANDERIA , COM PINTURA, EM CONSONÂNCIA COM AS NR's, EM ESPECIAL A NR-18, INCLUSO INSTALAÇÕES ELÉTRICAS E HIDROSSANITÁRIAS - ( COM REAPROVEITAMENTO 1 VEZ ).</v>
      </c>
      <c r="C15" s="5" t="str">
        <f>Orçamento!E14</f>
        <v>M2</v>
      </c>
      <c r="D15" s="78">
        <f>Orçamento!D14</f>
        <v>20</v>
      </c>
      <c r="E15" s="65" t="s">
        <v>617</v>
      </c>
    </row>
    <row r="16" spans="1:6" ht="38.25" x14ac:dyDescent="0.2">
      <c r="A16" s="9" t="s">
        <v>11</v>
      </c>
      <c r="B16" s="17" t="str">
        <f>Orçamento!C15</f>
        <v>LOCAÇÃO DA OBRA, EXECUÇÃO DE GABARITO SEM REAPROVEITAMENTO, INCLUSO PINTURA (FACE INTERNA DO RIPÃO 5CM) E PIQUETE COM TESTEMUNHA</v>
      </c>
      <c r="C16" s="5" t="str">
        <f>Orçamento!E15</f>
        <v>M2</v>
      </c>
      <c r="D16" s="78">
        <f>Orçamento!D15</f>
        <v>312.26</v>
      </c>
      <c r="E16" s="65" t="s">
        <v>615</v>
      </c>
    </row>
    <row r="17" spans="1:6" ht="24.75" customHeight="1" x14ac:dyDescent="0.2">
      <c r="A17" s="166" t="s">
        <v>12</v>
      </c>
      <c r="B17" s="163" t="str">
        <f>Orçamento!C16</f>
        <v>REVESTIMENTO DE POCOS (CISTERNA) C/TUBOS (ABERTURA)</v>
      </c>
      <c r="C17" s="164" t="str">
        <f>Orçamento!E16</f>
        <v>M</v>
      </c>
      <c r="D17" s="165">
        <f>Orçamento!D16</f>
        <v>60</v>
      </c>
      <c r="E17" s="143"/>
    </row>
    <row r="18" spans="1:6" ht="24" customHeight="1" x14ac:dyDescent="0.2">
      <c r="A18" s="9" t="s">
        <v>15</v>
      </c>
      <c r="B18" s="17" t="str">
        <f>Orçamento!C17</f>
        <v>LAJE CIRCULAR PARA POÇOS (CISTERNA) COM ENCABEÇAMENTO</v>
      </c>
      <c r="C18" s="5" t="str">
        <f>Orçamento!E17</f>
        <v>UND.</v>
      </c>
      <c r="D18" s="78">
        <f>Orçamento!D17</f>
        <v>1</v>
      </c>
      <c r="E18" s="65" t="s">
        <v>293</v>
      </c>
    </row>
    <row r="19" spans="1:6" ht="27.75" customHeight="1" x14ac:dyDescent="0.2">
      <c r="A19" s="9" t="s">
        <v>16</v>
      </c>
      <c r="B19" s="17" t="str">
        <f>Orçamento!C18</f>
        <v>PLACA DE OBRA EM CHAPA METÁLICA 26 COM PINTURA, AFIXADA EM CAVALETES DE MADEIRA DE LEI (VIGOTAS 6X12CM) - PADRÃO AGETOP</v>
      </c>
      <c r="C19" s="5" t="str">
        <f>Orçamento!E18</f>
        <v>M2</v>
      </c>
      <c r="D19" s="78">
        <f>Orçamento!D18</f>
        <v>3</v>
      </c>
      <c r="E19" s="76" t="s">
        <v>618</v>
      </c>
    </row>
    <row r="20" spans="1:6" ht="13.5" thickBot="1" x14ac:dyDescent="0.25">
      <c r="A20" s="344"/>
      <c r="B20" s="345"/>
      <c r="C20" s="345"/>
      <c r="D20" s="345"/>
      <c r="E20" s="346"/>
    </row>
    <row r="21" spans="1:6" x14ac:dyDescent="0.2">
      <c r="A21" s="329" t="s">
        <v>23</v>
      </c>
      <c r="B21" s="330"/>
      <c r="C21" s="330"/>
      <c r="D21" s="330"/>
      <c r="E21" s="331"/>
    </row>
    <row r="22" spans="1:6" s="12" customFormat="1" x14ac:dyDescent="0.2">
      <c r="A22" s="4">
        <v>2</v>
      </c>
      <c r="B22" s="263" t="s">
        <v>24</v>
      </c>
      <c r="C22" s="264"/>
      <c r="D22" s="264"/>
      <c r="E22" s="280"/>
      <c r="F22"/>
    </row>
    <row r="23" spans="1:6" ht="25.5" x14ac:dyDescent="0.2">
      <c r="A23" s="9" t="s">
        <v>5</v>
      </c>
      <c r="B23" s="17" t="s">
        <v>619</v>
      </c>
      <c r="C23" s="5" t="str">
        <f>Orçamento!E23</f>
        <v>M3</v>
      </c>
      <c r="D23" s="78">
        <f>Orçamento!D23</f>
        <v>15</v>
      </c>
      <c r="E23" s="76" t="s">
        <v>620</v>
      </c>
    </row>
    <row r="24" spans="1:6" x14ac:dyDescent="0.2">
      <c r="A24" s="318"/>
      <c r="B24" s="319"/>
      <c r="C24" s="319"/>
      <c r="D24" s="319"/>
      <c r="E24" s="320"/>
    </row>
    <row r="25" spans="1:6" x14ac:dyDescent="0.2">
      <c r="A25" s="311" t="s">
        <v>25</v>
      </c>
      <c r="B25" s="312"/>
      <c r="C25" s="312"/>
      <c r="D25" s="312"/>
      <c r="E25" s="313"/>
    </row>
    <row r="26" spans="1:6" x14ac:dyDescent="0.2">
      <c r="A26" s="4">
        <v>3</v>
      </c>
      <c r="B26" s="263" t="s">
        <v>28</v>
      </c>
      <c r="C26" s="264"/>
      <c r="D26" s="264"/>
      <c r="E26" s="280"/>
    </row>
    <row r="27" spans="1:6" x14ac:dyDescent="0.2">
      <c r="A27" s="9" t="s">
        <v>6</v>
      </c>
      <c r="B27" s="43" t="s">
        <v>29</v>
      </c>
      <c r="C27" s="6" t="str">
        <f>Orçamento!E27</f>
        <v>M3</v>
      </c>
      <c r="D27" s="78">
        <f>Orçamento!D27</f>
        <v>8.8607999999999993</v>
      </c>
      <c r="E27" s="79" t="s">
        <v>628</v>
      </c>
    </row>
    <row r="28" spans="1:6" x14ac:dyDescent="0.2">
      <c r="A28" s="9" t="s">
        <v>8</v>
      </c>
      <c r="B28" s="41" t="s">
        <v>292</v>
      </c>
      <c r="C28" s="6" t="str">
        <f>Orçamento!E28</f>
        <v>M2</v>
      </c>
      <c r="D28" s="78">
        <f>Orçamento!D28</f>
        <v>312.26</v>
      </c>
      <c r="E28" s="65" t="s">
        <v>615</v>
      </c>
    </row>
    <row r="29" spans="1:6" ht="25.5" x14ac:dyDescent="0.2">
      <c r="A29" s="9" t="s">
        <v>30</v>
      </c>
      <c r="B29" s="17" t="s">
        <v>621</v>
      </c>
      <c r="C29" s="6" t="str">
        <f>C28</f>
        <v>M2</v>
      </c>
      <c r="D29" s="78">
        <f>Orçamento!D29</f>
        <v>312.26</v>
      </c>
      <c r="E29" s="65" t="s">
        <v>615</v>
      </c>
    </row>
    <row r="30" spans="1:6" x14ac:dyDescent="0.2">
      <c r="A30" s="318"/>
      <c r="B30" s="319"/>
      <c r="C30" s="319"/>
      <c r="D30" s="319"/>
      <c r="E30" s="320"/>
    </row>
    <row r="31" spans="1:6" x14ac:dyDescent="0.2">
      <c r="A31" s="311" t="s">
        <v>31</v>
      </c>
      <c r="B31" s="312"/>
      <c r="C31" s="312"/>
      <c r="D31" s="312"/>
      <c r="E31" s="313"/>
    </row>
    <row r="32" spans="1:6" x14ac:dyDescent="0.2">
      <c r="A32" s="4">
        <v>4</v>
      </c>
      <c r="B32" s="263" t="s">
        <v>32</v>
      </c>
      <c r="C32" s="264"/>
      <c r="D32" s="264"/>
      <c r="E32" s="280"/>
    </row>
    <row r="33" spans="1:5" x14ac:dyDescent="0.2">
      <c r="A33" s="9" t="s">
        <v>40</v>
      </c>
      <c r="B33" s="41" t="s">
        <v>631</v>
      </c>
      <c r="C33" s="5" t="s">
        <v>33</v>
      </c>
      <c r="D33" s="78">
        <f>SUM(D34:D36)</f>
        <v>159</v>
      </c>
      <c r="E33" s="60" t="s">
        <v>662</v>
      </c>
    </row>
    <row r="34" spans="1:5" x14ac:dyDescent="0.2">
      <c r="A34" s="9" t="s">
        <v>656</v>
      </c>
      <c r="B34" s="17" t="s">
        <v>551</v>
      </c>
      <c r="C34" s="5" t="s">
        <v>33</v>
      </c>
      <c r="D34" s="89">
        <f>38*3</f>
        <v>114</v>
      </c>
      <c r="E34" s="60" t="s">
        <v>659</v>
      </c>
    </row>
    <row r="35" spans="1:5" x14ac:dyDescent="0.2">
      <c r="A35" s="9" t="s">
        <v>657</v>
      </c>
      <c r="B35" s="17" t="s">
        <v>418</v>
      </c>
      <c r="C35" s="5" t="s">
        <v>33</v>
      </c>
      <c r="D35" s="89">
        <f>12*2.5</f>
        <v>30</v>
      </c>
      <c r="E35" s="60" t="s">
        <v>660</v>
      </c>
    </row>
    <row r="36" spans="1:5" x14ac:dyDescent="0.2">
      <c r="A36" s="9" t="s">
        <v>658</v>
      </c>
      <c r="B36" s="17" t="s">
        <v>419</v>
      </c>
      <c r="C36" s="5" t="s">
        <v>33</v>
      </c>
      <c r="D36" s="89">
        <f>6*2.5</f>
        <v>15</v>
      </c>
      <c r="E36" s="60" t="s">
        <v>661</v>
      </c>
    </row>
    <row r="37" spans="1:5" x14ac:dyDescent="0.2">
      <c r="A37" s="9" t="s">
        <v>41</v>
      </c>
      <c r="B37" s="17" t="s">
        <v>623</v>
      </c>
      <c r="C37" s="48" t="s">
        <v>35</v>
      </c>
      <c r="D37" s="78">
        <f>Orçamento!D34</f>
        <v>5.3724999999999996</v>
      </c>
      <c r="E37" s="60" t="s">
        <v>629</v>
      </c>
    </row>
    <row r="38" spans="1:5" x14ac:dyDescent="0.2">
      <c r="A38" s="9" t="s">
        <v>42</v>
      </c>
      <c r="B38" s="17" t="s">
        <v>624</v>
      </c>
      <c r="C38" s="48" t="s">
        <v>34</v>
      </c>
      <c r="D38" s="78">
        <f>Orçamento!D35</f>
        <v>24.568000000000001</v>
      </c>
      <c r="E38" s="60" t="s">
        <v>630</v>
      </c>
    </row>
    <row r="39" spans="1:5" x14ac:dyDescent="0.2">
      <c r="A39" s="9" t="s">
        <v>43</v>
      </c>
      <c r="B39" s="17" t="s">
        <v>625</v>
      </c>
      <c r="C39" s="48" t="s">
        <v>34</v>
      </c>
      <c r="D39" s="78">
        <f>Orçamento!D36</f>
        <v>39.940000000000005</v>
      </c>
      <c r="E39" s="60" t="s">
        <v>655</v>
      </c>
    </row>
    <row r="40" spans="1:5" x14ac:dyDescent="0.2">
      <c r="A40" s="9" t="s">
        <v>44</v>
      </c>
      <c r="B40" s="17" t="str">
        <f>Orçamento!C37</f>
        <v>ACO CA-60 - 5,0 MM - (OBRAS CIVIS)</v>
      </c>
      <c r="C40" s="5" t="str">
        <f>Orçamento!E37</f>
        <v>KG</v>
      </c>
      <c r="D40" s="90">
        <f>SUM(D41:D43)</f>
        <v>190.70000000000002</v>
      </c>
      <c r="E40" s="85" t="s">
        <v>638</v>
      </c>
    </row>
    <row r="41" spans="1:5" x14ac:dyDescent="0.2">
      <c r="A41" s="9" t="s">
        <v>639</v>
      </c>
      <c r="B41" s="17" t="s">
        <v>633</v>
      </c>
      <c r="C41" s="5" t="s">
        <v>37</v>
      </c>
      <c r="D41" s="91">
        <f>111.3+25</f>
        <v>136.30000000000001</v>
      </c>
      <c r="E41" s="85" t="s">
        <v>635</v>
      </c>
    </row>
    <row r="42" spans="1:5" x14ac:dyDescent="0.2">
      <c r="A42" s="9" t="s">
        <v>641</v>
      </c>
      <c r="B42" s="17" t="s">
        <v>634</v>
      </c>
      <c r="C42" s="5" t="s">
        <v>37</v>
      </c>
      <c r="D42" s="91">
        <f>31.9+4.4</f>
        <v>36.299999999999997</v>
      </c>
      <c r="E42" s="85" t="s">
        <v>636</v>
      </c>
    </row>
    <row r="43" spans="1:5" x14ac:dyDescent="0.2">
      <c r="A43" s="9" t="s">
        <v>640</v>
      </c>
      <c r="B43" s="17" t="s">
        <v>632</v>
      </c>
      <c r="C43" s="5" t="s">
        <v>37</v>
      </c>
      <c r="D43" s="91">
        <f>15.9+2.2</f>
        <v>18.100000000000001</v>
      </c>
      <c r="E43" s="85" t="s">
        <v>637</v>
      </c>
    </row>
    <row r="44" spans="1:5" x14ac:dyDescent="0.2">
      <c r="A44" s="9" t="s">
        <v>45</v>
      </c>
      <c r="B44" s="17" t="str">
        <f>Orçamento!C38</f>
        <v>ACO CA 50-A - 8,0 MM (5/16") - (OBRAS CIVIS)</v>
      </c>
      <c r="C44" s="5" t="s">
        <v>37</v>
      </c>
      <c r="D44" s="90">
        <v>6</v>
      </c>
      <c r="E44" s="85">
        <v>6</v>
      </c>
    </row>
    <row r="45" spans="1:5" x14ac:dyDescent="0.2">
      <c r="A45" s="9" t="s">
        <v>622</v>
      </c>
      <c r="B45" s="17" t="str">
        <f>Orçamento!C39</f>
        <v>ACO CA-50A - 10,0 MM (3/8") - (OBRAS CIVIS)</v>
      </c>
      <c r="C45" s="5" t="str">
        <f>Orçamento!E39</f>
        <v>KG</v>
      </c>
      <c r="D45" s="90">
        <f>Orçamento!D39</f>
        <v>322.5</v>
      </c>
      <c r="E45" s="86" t="s">
        <v>648</v>
      </c>
    </row>
    <row r="46" spans="1:5" x14ac:dyDescent="0.2">
      <c r="A46" s="9" t="s">
        <v>642</v>
      </c>
      <c r="B46" s="17" t="s">
        <v>633</v>
      </c>
      <c r="C46" s="5" t="s">
        <v>37</v>
      </c>
      <c r="D46" s="91">
        <f>120.6+115</f>
        <v>235.6</v>
      </c>
      <c r="E46" s="86" t="s">
        <v>645</v>
      </c>
    </row>
    <row r="47" spans="1:5" x14ac:dyDescent="0.2">
      <c r="A47" s="9" t="s">
        <v>643</v>
      </c>
      <c r="B47" s="17" t="s">
        <v>634</v>
      </c>
      <c r="C47" s="5" t="s">
        <v>37</v>
      </c>
      <c r="D47" s="91">
        <f>30.4+27.1</f>
        <v>57.5</v>
      </c>
      <c r="E47" s="86" t="s">
        <v>646</v>
      </c>
    </row>
    <row r="48" spans="1:5" x14ac:dyDescent="0.2">
      <c r="A48" s="9" t="s">
        <v>644</v>
      </c>
      <c r="B48" s="17" t="s">
        <v>632</v>
      </c>
      <c r="C48" s="5" t="s">
        <v>37</v>
      </c>
      <c r="D48" s="91">
        <f>14.7+14.7</f>
        <v>29.4</v>
      </c>
      <c r="E48" s="86" t="s">
        <v>647</v>
      </c>
    </row>
    <row r="49" spans="1:6" ht="25.5" x14ac:dyDescent="0.2">
      <c r="A49" s="9" t="s">
        <v>626</v>
      </c>
      <c r="B49" s="17" t="str">
        <f>Orçamento!C40</f>
        <v>PREPARO COM BETONEIRA E TRANSPORTE MANUAL DE CONCRETO FCK=25 MPA</v>
      </c>
      <c r="C49" s="5" t="str">
        <f>Orçamento!E40</f>
        <v>M3</v>
      </c>
      <c r="D49" s="90">
        <f>SUM(D50:D52)</f>
        <v>9.52</v>
      </c>
      <c r="E49" s="94" t="s">
        <v>663</v>
      </c>
    </row>
    <row r="50" spans="1:6" x14ac:dyDescent="0.2">
      <c r="A50" s="9" t="s">
        <v>649</v>
      </c>
      <c r="B50" s="17" t="s">
        <v>973</v>
      </c>
      <c r="C50" s="5" t="s">
        <v>35</v>
      </c>
      <c r="D50" s="91">
        <f>(6+0.94)</f>
        <v>6.9399999999999995</v>
      </c>
      <c r="E50" s="85" t="s">
        <v>976</v>
      </c>
    </row>
    <row r="51" spans="1:6" x14ac:dyDescent="0.2">
      <c r="A51" s="9" t="s">
        <v>650</v>
      </c>
      <c r="B51" s="17" t="s">
        <v>974</v>
      </c>
      <c r="C51" s="5" t="s">
        <v>35</v>
      </c>
      <c r="D51" s="91">
        <f>(1.57+0.15)</f>
        <v>1.72</v>
      </c>
      <c r="E51" s="85" t="s">
        <v>977</v>
      </c>
    </row>
    <row r="52" spans="1:6" x14ac:dyDescent="0.2">
      <c r="A52" s="9" t="s">
        <v>651</v>
      </c>
      <c r="B52" s="17" t="s">
        <v>975</v>
      </c>
      <c r="C52" s="5" t="s">
        <v>35</v>
      </c>
      <c r="D52" s="91">
        <f>(0.78+0.08)</f>
        <v>0.86</v>
      </c>
      <c r="E52" s="85" t="s">
        <v>978</v>
      </c>
    </row>
    <row r="53" spans="1:6" ht="25.5" x14ac:dyDescent="0.2">
      <c r="A53" s="9" t="s">
        <v>627</v>
      </c>
      <c r="B53" s="17" t="str">
        <f>Orçamento!C41</f>
        <v>LANÇAMENTO/APLICAÇÃO/ADENSAMENTO DE CONCRETO EM FUNDAÇÃO- (O.C.)</v>
      </c>
      <c r="C53" s="89" t="s">
        <v>35</v>
      </c>
      <c r="D53" s="90">
        <f>SUM(D54:D56)</f>
        <v>9.52</v>
      </c>
      <c r="E53" s="94" t="s">
        <v>663</v>
      </c>
    </row>
    <row r="54" spans="1:6" x14ac:dyDescent="0.2">
      <c r="A54" s="9" t="s">
        <v>652</v>
      </c>
      <c r="B54" s="17" t="s">
        <v>973</v>
      </c>
      <c r="C54" s="5" t="s">
        <v>35</v>
      </c>
      <c r="D54" s="91">
        <f>(6+0.94)</f>
        <v>6.9399999999999995</v>
      </c>
      <c r="E54" s="85" t="s">
        <v>979</v>
      </c>
    </row>
    <row r="55" spans="1:6" x14ac:dyDescent="0.2">
      <c r="A55" s="9" t="s">
        <v>653</v>
      </c>
      <c r="B55" s="17" t="s">
        <v>974</v>
      </c>
      <c r="C55" s="5" t="s">
        <v>35</v>
      </c>
      <c r="D55" s="91">
        <f>(1.57+0.15)</f>
        <v>1.72</v>
      </c>
      <c r="E55" s="85" t="s">
        <v>977</v>
      </c>
    </row>
    <row r="56" spans="1:6" x14ac:dyDescent="0.2">
      <c r="A56" s="9" t="s">
        <v>654</v>
      </c>
      <c r="B56" s="17" t="s">
        <v>975</v>
      </c>
      <c r="C56" s="5" t="s">
        <v>35</v>
      </c>
      <c r="D56" s="91">
        <f>(0.78+0.08)</f>
        <v>0.86</v>
      </c>
      <c r="E56" s="85" t="s">
        <v>978</v>
      </c>
    </row>
    <row r="57" spans="1:6" s="13" customFormat="1" x14ac:dyDescent="0.2">
      <c r="A57" s="318"/>
      <c r="B57" s="319"/>
      <c r="C57" s="319"/>
      <c r="D57" s="319"/>
      <c r="E57" s="320"/>
      <c r="F57"/>
    </row>
    <row r="58" spans="1:6" s="13" customFormat="1" x14ac:dyDescent="0.2">
      <c r="A58" s="311" t="s">
        <v>38</v>
      </c>
      <c r="B58" s="312"/>
      <c r="C58" s="312"/>
      <c r="D58" s="312"/>
      <c r="E58" s="313"/>
      <c r="F58"/>
    </row>
    <row r="59" spans="1:6" s="13" customFormat="1" x14ac:dyDescent="0.2">
      <c r="A59" s="4">
        <v>5</v>
      </c>
      <c r="B59" s="230" t="s">
        <v>39</v>
      </c>
      <c r="C59" s="231"/>
      <c r="D59" s="231"/>
      <c r="E59" s="232"/>
      <c r="F59"/>
    </row>
    <row r="60" spans="1:6" s="13" customFormat="1" x14ac:dyDescent="0.2">
      <c r="A60" s="9" t="s">
        <v>46</v>
      </c>
      <c r="B60" s="43" t="s">
        <v>664</v>
      </c>
      <c r="C60" s="5" t="s">
        <v>35</v>
      </c>
      <c r="D60" s="90">
        <f>D61+D62</f>
        <v>1.9265999999999999</v>
      </c>
      <c r="E60" s="60" t="s">
        <v>676</v>
      </c>
      <c r="F60"/>
    </row>
    <row r="61" spans="1:6" s="13" customFormat="1" ht="38.25" x14ac:dyDescent="0.2">
      <c r="A61" s="9" t="s">
        <v>672</v>
      </c>
      <c r="B61" s="43" t="s">
        <v>670</v>
      </c>
      <c r="C61" s="5" t="s">
        <v>35</v>
      </c>
      <c r="D61" s="91">
        <f>0.15*0.2*((1.2+0.1+0.1)+0.7+6*(0.8+0.1+0.1)+7*(0.9+0.1+0)+1.1+2*(0.9+0.1+0.1)+1.3+9*(1.2+0.3+0.3)+3*(0.8+0.3+0.3)+(1.2*0.3+0.3)+(1+0.1+0.1))</f>
        <v>1.2587999999999999</v>
      </c>
      <c r="E61" s="60" t="s">
        <v>674</v>
      </c>
      <c r="F61"/>
    </row>
    <row r="62" spans="1:6" s="13" customFormat="1" ht="25.5" x14ac:dyDescent="0.2">
      <c r="A62" s="9" t="s">
        <v>673</v>
      </c>
      <c r="B62" s="43" t="s">
        <v>671</v>
      </c>
      <c r="C62" s="5" t="s">
        <v>35</v>
      </c>
      <c r="D62" s="91">
        <f>0.2*0.15*((9*(1.2+0.3+0.3))+3*(0.8+0.3+0.3)+(1.2*0.3+0.3)+(1+0.1+0.1))</f>
        <v>0.66779999999999995</v>
      </c>
      <c r="E62" s="60" t="s">
        <v>675</v>
      </c>
      <c r="F62"/>
    </row>
    <row r="63" spans="1:6" s="13" customFormat="1" x14ac:dyDescent="0.2">
      <c r="A63" s="9" t="s">
        <v>47</v>
      </c>
      <c r="B63" s="43" t="s">
        <v>665</v>
      </c>
      <c r="C63" s="5" t="s">
        <v>34</v>
      </c>
      <c r="D63" s="90">
        <f>(2*0.3*147.68)+(2*0.3*48.07)+(2*0.3*22.57)</f>
        <v>130.99199999999999</v>
      </c>
      <c r="E63" s="60" t="s">
        <v>732</v>
      </c>
      <c r="F63"/>
    </row>
    <row r="64" spans="1:6" s="13" customFormat="1" x14ac:dyDescent="0.2">
      <c r="A64" s="9" t="s">
        <v>48</v>
      </c>
      <c r="B64" s="43" t="s">
        <v>679</v>
      </c>
      <c r="C64" s="5" t="s">
        <v>34</v>
      </c>
      <c r="D64" s="90">
        <f>SUM(D65:D70)</f>
        <v>265.54973440000003</v>
      </c>
      <c r="E64" s="60" t="s">
        <v>731</v>
      </c>
      <c r="F64"/>
    </row>
    <row r="65" spans="1:6" s="13" customFormat="1" ht="51" x14ac:dyDescent="0.2">
      <c r="A65" s="9" t="s">
        <v>677</v>
      </c>
      <c r="B65" s="43" t="s">
        <v>701</v>
      </c>
      <c r="C65" s="5" t="s">
        <v>34</v>
      </c>
      <c r="D65" s="91">
        <f>2*0.324*(16.75+10+14.15+7.85+1.85+5.3+11.5+11.35+9.5+5.75+5.75+5.75+3.6+2.6+2.6+2.6+5.15+4.2+1.5+14.15+(6*4.05)+0.144*((16.75+10+14.15+7.85+1.85+5.3+11.5+11.35+9.5+5.75+5.75+5.75+3.6+2.6+2.6+2.6+5.15+4.2+1.5+14.15+(6*4.05))))</f>
        <v>123.20605439999999</v>
      </c>
      <c r="E65" s="60" t="s">
        <v>728</v>
      </c>
      <c r="F65"/>
    </row>
    <row r="66" spans="1:6" s="13" customFormat="1" ht="25.5" x14ac:dyDescent="0.2">
      <c r="A66" s="9" t="s">
        <v>678</v>
      </c>
      <c r="B66" s="43" t="s">
        <v>726</v>
      </c>
      <c r="C66" s="5" t="s">
        <v>34</v>
      </c>
      <c r="D66" s="91">
        <f>2*0.324*(9.74+9.74+9.83+9.91+5*1.77)+0.144*((9.74+9.74+9.83+9.91+5*1.77))</f>
        <v>38.071440000000003</v>
      </c>
      <c r="E66" s="60" t="s">
        <v>729</v>
      </c>
      <c r="F66"/>
    </row>
    <row r="67" spans="1:6" s="13" customFormat="1" ht="25.5" customHeight="1" x14ac:dyDescent="0.2">
      <c r="A67" s="9" t="s">
        <v>683</v>
      </c>
      <c r="B67" s="43" t="s">
        <v>727</v>
      </c>
      <c r="C67" s="5" t="s">
        <v>34</v>
      </c>
      <c r="D67" s="91">
        <f>2*0.324*(2.84+2.84+7+2.84+7)+0.144*((2.84+2.84+7+2.84+7))</f>
        <v>17.835839999999997</v>
      </c>
      <c r="E67" s="60" t="s">
        <v>730</v>
      </c>
      <c r="F67"/>
    </row>
    <row r="68" spans="1:6" s="13" customFormat="1" ht="25.5" x14ac:dyDescent="0.2">
      <c r="A68" s="9" t="s">
        <v>684</v>
      </c>
      <c r="B68" s="43" t="s">
        <v>680</v>
      </c>
      <c r="C68" s="5" t="s">
        <v>34</v>
      </c>
      <c r="D68" s="91">
        <f>30*(3.2*0.174+3.2*0.324)+4*(3.2*0.144+3.2*0.324)+5*(3.2*0.24+3.2*0.424)+2*(3.2*0.24)</f>
        <v>65.958400000000012</v>
      </c>
      <c r="E68" s="60" t="s">
        <v>685</v>
      </c>
      <c r="F68"/>
    </row>
    <row r="69" spans="1:6" s="13" customFormat="1" x14ac:dyDescent="0.2">
      <c r="A69" s="9" t="s">
        <v>981</v>
      </c>
      <c r="B69" s="43" t="s">
        <v>681</v>
      </c>
      <c r="C69" s="5" t="s">
        <v>34</v>
      </c>
      <c r="D69" s="91">
        <f>10*(2.5*0.144+2.5*0.324)+2*(1.8*0.24+1.8*0.24)</f>
        <v>13.427999999999999</v>
      </c>
      <c r="E69" s="60" t="s">
        <v>686</v>
      </c>
      <c r="F69"/>
    </row>
    <row r="70" spans="1:6" s="13" customFormat="1" x14ac:dyDescent="0.2">
      <c r="A70" s="9" t="s">
        <v>982</v>
      </c>
      <c r="B70" s="43" t="s">
        <v>682</v>
      </c>
      <c r="C70" s="5" t="s">
        <v>34</v>
      </c>
      <c r="D70" s="91">
        <f>5*(2.5*0.144+2.5*0.324)+(2.5*0.24+2.5*0.24)</f>
        <v>7.05</v>
      </c>
      <c r="E70" s="60" t="s">
        <v>687</v>
      </c>
      <c r="F70"/>
    </row>
    <row r="71" spans="1:6" s="13" customFormat="1" ht="21.75" customHeight="1" x14ac:dyDescent="0.2">
      <c r="A71" s="9" t="s">
        <v>410</v>
      </c>
      <c r="B71" s="52" t="s">
        <v>298</v>
      </c>
      <c r="C71" s="5" t="s">
        <v>37</v>
      </c>
      <c r="D71" s="81">
        <f>D72+D73+D74</f>
        <v>631.5</v>
      </c>
      <c r="E71" s="60" t="s">
        <v>711</v>
      </c>
      <c r="F71"/>
    </row>
    <row r="72" spans="1:6" s="13" customFormat="1" ht="21.75" customHeight="1" x14ac:dyDescent="0.2">
      <c r="A72" s="9" t="s">
        <v>691</v>
      </c>
      <c r="B72" s="52" t="s">
        <v>688</v>
      </c>
      <c r="C72" s="5" t="s">
        <v>37</v>
      </c>
      <c r="D72" s="68">
        <f>153.1+30.4+15.2</f>
        <v>198.7</v>
      </c>
      <c r="E72" s="60" t="s">
        <v>690</v>
      </c>
      <c r="F72"/>
    </row>
    <row r="73" spans="1:6" s="13" customFormat="1" ht="21.75" customHeight="1" x14ac:dyDescent="0.2">
      <c r="A73" s="9" t="s">
        <v>692</v>
      </c>
      <c r="B73" s="52" t="s">
        <v>689</v>
      </c>
      <c r="C73" s="5" t="s">
        <v>37</v>
      </c>
      <c r="D73" s="68">
        <f>(103.5+51.1)+48.4+14.7</f>
        <v>217.7</v>
      </c>
      <c r="E73" s="60" t="s">
        <v>706</v>
      </c>
      <c r="F73"/>
    </row>
    <row r="74" spans="1:6" s="13" customFormat="1" ht="21.75" customHeight="1" x14ac:dyDescent="0.2">
      <c r="A74" s="9" t="s">
        <v>693</v>
      </c>
      <c r="B74" s="52" t="s">
        <v>705</v>
      </c>
      <c r="C74" s="5" t="s">
        <v>37</v>
      </c>
      <c r="D74" s="68">
        <f>(104.9+46.9)+45+18.3</f>
        <v>215.10000000000002</v>
      </c>
      <c r="E74" s="60" t="s">
        <v>703</v>
      </c>
      <c r="F74"/>
    </row>
    <row r="75" spans="1:6" s="13" customFormat="1" x14ac:dyDescent="0.2">
      <c r="A75" s="9" t="s">
        <v>49</v>
      </c>
      <c r="B75" s="52" t="s">
        <v>243</v>
      </c>
      <c r="C75" s="5" t="s">
        <v>37</v>
      </c>
      <c r="D75" s="81">
        <f>SUM(D76:D77)</f>
        <v>4.3000000000000007</v>
      </c>
      <c r="E75" s="60" t="s">
        <v>712</v>
      </c>
      <c r="F75"/>
    </row>
    <row r="76" spans="1:6" s="13" customFormat="1" x14ac:dyDescent="0.2">
      <c r="A76" s="9" t="s">
        <v>694</v>
      </c>
      <c r="B76" s="52" t="s">
        <v>689</v>
      </c>
      <c r="C76" s="5" t="s">
        <v>37</v>
      </c>
      <c r="D76" s="68">
        <f>0.2+0.6+1.4</f>
        <v>2.2000000000000002</v>
      </c>
      <c r="E76" s="60" t="s">
        <v>708</v>
      </c>
      <c r="F76"/>
    </row>
    <row r="77" spans="1:6" s="13" customFormat="1" x14ac:dyDescent="0.2">
      <c r="A77" s="9" t="s">
        <v>713</v>
      </c>
      <c r="B77" s="52" t="s">
        <v>705</v>
      </c>
      <c r="C77" s="5" t="s">
        <v>37</v>
      </c>
      <c r="D77" s="68">
        <f>0.2+1.1+0.8</f>
        <v>2.1</v>
      </c>
      <c r="E77" s="60" t="s">
        <v>710</v>
      </c>
      <c r="F77"/>
    </row>
    <row r="78" spans="1:6" s="13" customFormat="1" x14ac:dyDescent="0.2">
      <c r="A78" s="9" t="s">
        <v>50</v>
      </c>
      <c r="B78" s="52" t="s">
        <v>36</v>
      </c>
      <c r="C78" s="5" t="s">
        <v>37</v>
      </c>
      <c r="D78" s="81">
        <f>SUM(D79:D80)</f>
        <v>830.2</v>
      </c>
      <c r="E78" s="60" t="s">
        <v>714</v>
      </c>
      <c r="F78"/>
    </row>
    <row r="79" spans="1:6" s="13" customFormat="1" x14ac:dyDescent="0.2">
      <c r="A79" s="9" t="s">
        <v>695</v>
      </c>
      <c r="B79" s="52" t="s">
        <v>689</v>
      </c>
      <c r="C79" s="5" t="s">
        <v>37</v>
      </c>
      <c r="D79" s="68">
        <f>(173.4+75.7)+76.3+33</f>
        <v>358.40000000000003</v>
      </c>
      <c r="E79" s="60" t="s">
        <v>707</v>
      </c>
      <c r="F79"/>
    </row>
    <row r="80" spans="1:6" s="13" customFormat="1" x14ac:dyDescent="0.2">
      <c r="A80" s="9" t="s">
        <v>696</v>
      </c>
      <c r="B80" s="52" t="s">
        <v>704</v>
      </c>
      <c r="C80" s="5" t="s">
        <v>37</v>
      </c>
      <c r="D80" s="68">
        <f>(231.7+128.5)+71.2+40.4</f>
        <v>471.79999999999995</v>
      </c>
      <c r="E80" s="60" t="s">
        <v>709</v>
      </c>
      <c r="F80"/>
    </row>
    <row r="81" spans="1:6" s="13" customFormat="1" x14ac:dyDescent="0.2">
      <c r="A81" s="9" t="s">
        <v>52</v>
      </c>
      <c r="B81" s="52" t="s">
        <v>51</v>
      </c>
      <c r="C81" s="5" t="s">
        <v>37</v>
      </c>
      <c r="D81" s="81">
        <f>SUM(D82:D83)</f>
        <v>595.20000000000005</v>
      </c>
      <c r="E81" s="60" t="s">
        <v>700</v>
      </c>
      <c r="F81"/>
    </row>
    <row r="82" spans="1:6" s="13" customFormat="1" x14ac:dyDescent="0.2">
      <c r="A82" s="9" t="s">
        <v>718</v>
      </c>
      <c r="B82" s="52" t="s">
        <v>688</v>
      </c>
      <c r="C82" s="5" t="s">
        <v>37</v>
      </c>
      <c r="D82" s="68">
        <f>374.2+81.4+40.2</f>
        <v>495.8</v>
      </c>
      <c r="E82" s="60" t="s">
        <v>698</v>
      </c>
      <c r="F82"/>
    </row>
    <row r="83" spans="1:6" s="13" customFormat="1" x14ac:dyDescent="0.2">
      <c r="A83" s="9" t="s">
        <v>719</v>
      </c>
      <c r="B83" s="52" t="s">
        <v>697</v>
      </c>
      <c r="C83" s="5" t="s">
        <v>37</v>
      </c>
      <c r="D83" s="68">
        <f>19.8+79.6</f>
        <v>99.399999999999991</v>
      </c>
      <c r="E83" s="60" t="s">
        <v>699</v>
      </c>
      <c r="F83"/>
    </row>
    <row r="84" spans="1:6" s="13" customFormat="1" ht="25.5" x14ac:dyDescent="0.2">
      <c r="A84" s="9" t="s">
        <v>53</v>
      </c>
      <c r="B84" s="52" t="s">
        <v>226</v>
      </c>
      <c r="C84" s="5" t="s">
        <v>35</v>
      </c>
      <c r="D84" s="81">
        <f>SUM(D85:D87)</f>
        <v>25.9</v>
      </c>
      <c r="E84" s="60" t="s">
        <v>717</v>
      </c>
      <c r="F84"/>
    </row>
    <row r="85" spans="1:6" s="13" customFormat="1" x14ac:dyDescent="0.2">
      <c r="A85" s="9" t="s">
        <v>720</v>
      </c>
      <c r="B85" s="52" t="s">
        <v>688</v>
      </c>
      <c r="C85" s="5" t="s">
        <v>35</v>
      </c>
      <c r="D85" s="68">
        <f>5.9+1.1+0.55</f>
        <v>7.55</v>
      </c>
      <c r="E85" s="60" t="s">
        <v>702</v>
      </c>
      <c r="F85"/>
    </row>
    <row r="86" spans="1:6" s="13" customFormat="1" x14ac:dyDescent="0.2">
      <c r="A86" s="9" t="s">
        <v>721</v>
      </c>
      <c r="B86" s="52" t="s">
        <v>689</v>
      </c>
      <c r="C86" s="5" t="s">
        <v>35</v>
      </c>
      <c r="D86" s="68">
        <f>(4.08+2.35)+1.54+0.58</f>
        <v>8.5499999999999989</v>
      </c>
      <c r="E86" s="60" t="s">
        <v>715</v>
      </c>
      <c r="F86"/>
    </row>
    <row r="87" spans="1:6" s="13" customFormat="1" x14ac:dyDescent="0.2">
      <c r="A87" s="9" t="s">
        <v>722</v>
      </c>
      <c r="B87" s="52" t="s">
        <v>704</v>
      </c>
      <c r="C87" s="5" t="s">
        <v>35</v>
      </c>
      <c r="D87" s="68">
        <f>(4.79+2.89)+1.44+0.68</f>
        <v>9.7999999999999989</v>
      </c>
      <c r="E87" s="60" t="s">
        <v>716</v>
      </c>
      <c r="F87"/>
    </row>
    <row r="88" spans="1:6" s="16" customFormat="1" ht="31.5" customHeight="1" x14ac:dyDescent="0.2">
      <c r="A88" s="9" t="s">
        <v>667</v>
      </c>
      <c r="B88" s="52" t="s">
        <v>300</v>
      </c>
      <c r="C88" s="5" t="s">
        <v>35</v>
      </c>
      <c r="D88" s="81">
        <f>D84</f>
        <v>25.9</v>
      </c>
      <c r="E88" s="60" t="str">
        <f>E84</f>
        <v>7,55+8,55+9,80</v>
      </c>
      <c r="F88"/>
    </row>
    <row r="89" spans="1:6" s="16" customFormat="1" x14ac:dyDescent="0.2">
      <c r="A89" s="9" t="s">
        <v>723</v>
      </c>
      <c r="B89" s="52" t="s">
        <v>688</v>
      </c>
      <c r="C89" s="5" t="s">
        <v>35</v>
      </c>
      <c r="D89" s="68">
        <f>5.9+1.1+0.55</f>
        <v>7.55</v>
      </c>
      <c r="E89" s="60" t="s">
        <v>702</v>
      </c>
      <c r="F89"/>
    </row>
    <row r="90" spans="1:6" s="16" customFormat="1" x14ac:dyDescent="0.2">
      <c r="A90" s="9" t="s">
        <v>724</v>
      </c>
      <c r="B90" s="52" t="s">
        <v>689</v>
      </c>
      <c r="C90" s="5" t="s">
        <v>35</v>
      </c>
      <c r="D90" s="68">
        <f>(4.08+2.35)+1.54+0.58</f>
        <v>8.5499999999999989</v>
      </c>
      <c r="E90" s="60" t="s">
        <v>715</v>
      </c>
      <c r="F90"/>
    </row>
    <row r="91" spans="1:6" s="16" customFormat="1" x14ac:dyDescent="0.2">
      <c r="A91" s="9" t="s">
        <v>725</v>
      </c>
      <c r="B91" s="52" t="s">
        <v>704</v>
      </c>
      <c r="C91" s="5" t="s">
        <v>35</v>
      </c>
      <c r="D91" s="68">
        <f>(4.79+2.89)+1.44+0.68</f>
        <v>9.7999999999999989</v>
      </c>
      <c r="E91" s="60" t="s">
        <v>716</v>
      </c>
      <c r="F91"/>
    </row>
    <row r="92" spans="1:6" ht="25.5" x14ac:dyDescent="0.2">
      <c r="A92" s="9" t="s">
        <v>668</v>
      </c>
      <c r="B92" s="43" t="s">
        <v>733</v>
      </c>
      <c r="C92" s="5" t="s">
        <v>34</v>
      </c>
      <c r="D92" s="81">
        <f>Orçamento!D54</f>
        <v>243.2</v>
      </c>
      <c r="E92" s="60">
        <f>D92</f>
        <v>243.2</v>
      </c>
    </row>
    <row r="93" spans="1:6" x14ac:dyDescent="0.2">
      <c r="A93" s="318"/>
      <c r="B93" s="319"/>
      <c r="C93" s="319"/>
      <c r="D93" s="319"/>
      <c r="E93" s="320"/>
    </row>
    <row r="94" spans="1:6" x14ac:dyDescent="0.2">
      <c r="A94" s="311" t="s">
        <v>54</v>
      </c>
      <c r="B94" s="312"/>
      <c r="C94" s="312"/>
      <c r="D94" s="312"/>
      <c r="E94" s="313"/>
    </row>
    <row r="95" spans="1:6" x14ac:dyDescent="0.2">
      <c r="A95" s="4">
        <v>6</v>
      </c>
      <c r="B95" s="230" t="s">
        <v>55</v>
      </c>
      <c r="C95" s="231"/>
      <c r="D95" s="231"/>
      <c r="E95" s="232"/>
    </row>
    <row r="96" spans="1:6" x14ac:dyDescent="0.2">
      <c r="A96" s="10" t="s">
        <v>56</v>
      </c>
      <c r="B96" s="15" t="str">
        <f>Orçamento!C58</f>
        <v>BUCHA E ARRUELA METALICA DIAM. 1"</v>
      </c>
      <c r="C96" s="6" t="str">
        <f>Orçamento!E58</f>
        <v>PR.</v>
      </c>
      <c r="D96" s="87">
        <f>Orçamento!D58</f>
        <v>2</v>
      </c>
      <c r="E96" s="61"/>
    </row>
    <row r="97" spans="1:6" x14ac:dyDescent="0.2">
      <c r="A97" s="10" t="s">
        <v>71</v>
      </c>
      <c r="B97" s="15" t="str">
        <f>Orçamento!C59</f>
        <v>CAIXA METALICA QUADRADA 4"X4"X2"</v>
      </c>
      <c r="C97" s="6" t="str">
        <f>Orçamento!E59</f>
        <v>UND.</v>
      </c>
      <c r="D97" s="87">
        <f>Orçamento!D59</f>
        <v>72</v>
      </c>
      <c r="E97" s="61"/>
    </row>
    <row r="98" spans="1:6" s="13" customFormat="1" x14ac:dyDescent="0.2">
      <c r="A98" s="10" t="s">
        <v>72</v>
      </c>
      <c r="B98" s="15" t="str">
        <f>Orçamento!C60</f>
        <v>CAIXA METALICA OCTOGONAL FUNDO MOVEL,DUPLA 4"</v>
      </c>
      <c r="C98" s="6" t="str">
        <f>Orçamento!E60</f>
        <v>UND.</v>
      </c>
      <c r="D98" s="87">
        <f>Orçamento!D60</f>
        <v>26</v>
      </c>
      <c r="E98" s="61"/>
      <c r="F98"/>
    </row>
    <row r="99" spans="1:6" s="13" customFormat="1" x14ac:dyDescent="0.2">
      <c r="A99" s="10" t="s">
        <v>73</v>
      </c>
      <c r="B99" s="15" t="str">
        <f>Orçamento!C61</f>
        <v>CAIXA 75X75X31 MM LINHA X OU EQUIVALENTE</v>
      </c>
      <c r="C99" s="6" t="str">
        <f>Orçamento!E61</f>
        <v>UND.</v>
      </c>
      <c r="D99" s="87">
        <f>Orçamento!D61</f>
        <v>1</v>
      </c>
      <c r="E99" s="61"/>
      <c r="F99"/>
    </row>
    <row r="100" spans="1:6" s="13" customFormat="1" x14ac:dyDescent="0.2">
      <c r="A100" s="10" t="s">
        <v>74</v>
      </c>
      <c r="B100" s="15" t="str">
        <f>Orçamento!C62</f>
        <v>CONDULETE PVC E 3/4" S/TAMPA</v>
      </c>
      <c r="C100" s="6" t="str">
        <f>Orçamento!E62</f>
        <v>UND.</v>
      </c>
      <c r="D100" s="87">
        <f>Orçamento!D62</f>
        <v>6</v>
      </c>
      <c r="E100" s="61"/>
      <c r="F100"/>
    </row>
    <row r="101" spans="1:6" s="13" customFormat="1" x14ac:dyDescent="0.2">
      <c r="A101" s="10" t="s">
        <v>75</v>
      </c>
      <c r="B101" s="15" t="str">
        <f>Orçamento!C63</f>
        <v>CURVA DE 90 GRAUS DE PVC RIGIDO DIAM. 1"</v>
      </c>
      <c r="C101" s="6" t="str">
        <f>Orçamento!E63</f>
        <v>UND.</v>
      </c>
      <c r="D101" s="87">
        <f>Orçamento!D63</f>
        <v>4</v>
      </c>
      <c r="E101" s="61"/>
      <c r="F101"/>
    </row>
    <row r="102" spans="1:6" x14ac:dyDescent="0.2">
      <c r="A102" s="10" t="s">
        <v>76</v>
      </c>
      <c r="B102" s="15" t="str">
        <f>Orçamento!C64</f>
        <v>LUVA PVC ROSQUEAVEL DIAMETRO 1"</v>
      </c>
      <c r="C102" s="6" t="str">
        <f>Orçamento!E64</f>
        <v>UND.</v>
      </c>
      <c r="D102" s="87">
        <f>Orçamento!D64</f>
        <v>5</v>
      </c>
      <c r="E102" s="61"/>
    </row>
    <row r="103" spans="1:6" x14ac:dyDescent="0.2">
      <c r="A103" s="10" t="s">
        <v>77</v>
      </c>
      <c r="B103" s="15" t="str">
        <f>Orçamento!C65</f>
        <v>ARRUELA LISA D=1/4"</v>
      </c>
      <c r="C103" s="6" t="str">
        <f>Orçamento!E65</f>
        <v>UND.</v>
      </c>
      <c r="D103" s="87">
        <f>Orçamento!D65</f>
        <v>4</v>
      </c>
      <c r="E103" s="61"/>
    </row>
    <row r="104" spans="1:6" x14ac:dyDescent="0.2">
      <c r="A104" s="10" t="s">
        <v>78</v>
      </c>
      <c r="B104" s="15" t="str">
        <f>Orçamento!C66</f>
        <v>BUCHA DE NYLON S-6</v>
      </c>
      <c r="C104" s="6" t="str">
        <f>Orçamento!E66</f>
        <v>UND.</v>
      </c>
      <c r="D104" s="87">
        <f>Orçamento!D66</f>
        <v>10</v>
      </c>
      <c r="E104" s="123"/>
    </row>
    <row r="105" spans="1:6" x14ac:dyDescent="0.2">
      <c r="A105" s="10" t="s">
        <v>79</v>
      </c>
      <c r="B105" s="15" t="str">
        <f>Orçamento!C67</f>
        <v>PARAFUSO P/BUCHA S-6</v>
      </c>
      <c r="C105" s="6" t="str">
        <f>Orçamento!E67</f>
        <v>UND.</v>
      </c>
      <c r="D105" s="87">
        <f>Orçamento!D67</f>
        <v>10</v>
      </c>
      <c r="E105" s="123"/>
    </row>
    <row r="106" spans="1:6" x14ac:dyDescent="0.2">
      <c r="A106" s="10" t="s">
        <v>80</v>
      </c>
      <c r="B106" s="15" t="str">
        <f>Orçamento!C68</f>
        <v>FIO ISOLADO PVC 750 V, No. 1,5 MM2</v>
      </c>
      <c r="C106" s="6" t="str">
        <f>Orçamento!E68</f>
        <v>M</v>
      </c>
      <c r="D106" s="87">
        <f>Orçamento!D68</f>
        <v>822.91</v>
      </c>
      <c r="E106" s="123"/>
    </row>
    <row r="107" spans="1:6" x14ac:dyDescent="0.2">
      <c r="A107" s="10" t="s">
        <v>88</v>
      </c>
      <c r="B107" s="15" t="str">
        <f>Orçamento!C69</f>
        <v>FIO ISOLADO PVC 750 V, No. 2,5 MM2</v>
      </c>
      <c r="C107" s="6" t="str">
        <f>Orçamento!E69</f>
        <v>M</v>
      </c>
      <c r="D107" s="87">
        <f>Orçamento!D69</f>
        <v>1647.38</v>
      </c>
      <c r="E107" s="123"/>
    </row>
    <row r="108" spans="1:6" x14ac:dyDescent="0.2">
      <c r="A108" s="10" t="s">
        <v>89</v>
      </c>
      <c r="B108" s="15" t="str">
        <f>Orçamento!C70</f>
        <v>FIO ISOLADO PVC 750 V, No. 4 MM2</v>
      </c>
      <c r="C108" s="6" t="str">
        <f>Orçamento!E70</f>
        <v>M</v>
      </c>
      <c r="D108" s="87">
        <f>Orçamento!D70</f>
        <v>109.04</v>
      </c>
      <c r="E108" s="123"/>
    </row>
    <row r="109" spans="1:6" x14ac:dyDescent="0.2">
      <c r="A109" s="10" t="s">
        <v>90</v>
      </c>
      <c r="B109" s="15" t="str">
        <f>Orçamento!C71</f>
        <v>CAIXA DE PASSAGEM METALICA 15X15X12 CM</v>
      </c>
      <c r="C109" s="6" t="str">
        <f>Orçamento!E71</f>
        <v>UND.</v>
      </c>
      <c r="D109" s="87">
        <f>Orçamento!D71</f>
        <v>1</v>
      </c>
      <c r="E109" s="123"/>
    </row>
    <row r="110" spans="1:6" x14ac:dyDescent="0.2">
      <c r="A110" s="10" t="s">
        <v>91</v>
      </c>
      <c r="B110" s="15" t="str">
        <f>Orçamento!C72</f>
        <v>CAIXA DE PASSAGEM METALICA 40X40X15 CM</v>
      </c>
      <c r="C110" s="6" t="str">
        <f>Orçamento!E72</f>
        <v>UND.</v>
      </c>
      <c r="D110" s="87">
        <f>Orçamento!D72</f>
        <v>1</v>
      </c>
      <c r="E110" s="123"/>
    </row>
    <row r="111" spans="1:6" x14ac:dyDescent="0.2">
      <c r="A111" s="10" t="s">
        <v>92</v>
      </c>
      <c r="B111" s="15" t="str">
        <f>Orçamento!C73</f>
        <v>INTERRUPTOR PARALELO SIMPLES (1 SECAO)</v>
      </c>
      <c r="C111" s="6" t="str">
        <f>Orçamento!E73</f>
        <v>UND.</v>
      </c>
      <c r="D111" s="87">
        <f>Orçamento!D73</f>
        <v>1</v>
      </c>
      <c r="E111" s="123"/>
    </row>
    <row r="112" spans="1:6" x14ac:dyDescent="0.2">
      <c r="A112" s="10" t="s">
        <v>93</v>
      </c>
      <c r="B112" s="15" t="str">
        <f>Orçamento!C74</f>
        <v>INTERRUPTOR SIMPLES (1 SECAO)</v>
      </c>
      <c r="C112" s="6" t="str">
        <f>Orçamento!E74</f>
        <v>UND.</v>
      </c>
      <c r="D112" s="87">
        <f>Orçamento!D74</f>
        <v>4</v>
      </c>
      <c r="E112" s="123"/>
    </row>
    <row r="113" spans="1:5" x14ac:dyDescent="0.2">
      <c r="A113" s="10" t="s">
        <v>94</v>
      </c>
      <c r="B113" s="15" t="str">
        <f>Orçamento!C75</f>
        <v>INTERRUPTOR SIMPLES (2 SECOES)</v>
      </c>
      <c r="C113" s="6" t="str">
        <f>Orçamento!E75</f>
        <v>UND.</v>
      </c>
      <c r="D113" s="87">
        <f>Orçamento!D75</f>
        <v>2</v>
      </c>
      <c r="E113" s="61"/>
    </row>
    <row r="114" spans="1:5" x14ac:dyDescent="0.2">
      <c r="A114" s="10" t="s">
        <v>96</v>
      </c>
      <c r="B114" s="15" t="str">
        <f>Orçamento!C76</f>
        <v>TAMPA CEGA CONDULETE PVC 1/2" OU 3/4"</v>
      </c>
      <c r="C114" s="6" t="str">
        <f>Orçamento!E76</f>
        <v>UND.</v>
      </c>
      <c r="D114" s="87">
        <f>Orçamento!D76</f>
        <v>1</v>
      </c>
      <c r="E114" s="61"/>
    </row>
    <row r="115" spans="1:5" x14ac:dyDescent="0.2">
      <c r="A115" s="10" t="s">
        <v>241</v>
      </c>
      <c r="B115" s="15" t="str">
        <f>Orçamento!C77</f>
        <v>TAMPA CONDULETE PVC P/1 INTERRUPTOR DE 1 SECAO</v>
      </c>
      <c r="C115" s="6" t="str">
        <f>Orçamento!E77</f>
        <v>UND.</v>
      </c>
      <c r="D115" s="87">
        <f>Orçamento!D77</f>
        <v>15</v>
      </c>
      <c r="E115" s="61"/>
    </row>
    <row r="116" spans="1:5" x14ac:dyDescent="0.2">
      <c r="A116" s="10" t="s">
        <v>315</v>
      </c>
      <c r="B116" s="15" t="str">
        <f>Orçamento!C78</f>
        <v>TAMPA CONDULETE PVC P/2 INTERRUP.1 SECAO JUNTOS</v>
      </c>
      <c r="C116" s="6" t="str">
        <f>Orçamento!E78</f>
        <v>UND.</v>
      </c>
      <c r="D116" s="87">
        <f>Orçamento!D78</f>
        <v>17</v>
      </c>
      <c r="E116" s="61"/>
    </row>
    <row r="117" spans="1:5" x14ac:dyDescent="0.2">
      <c r="A117" s="10" t="s">
        <v>316</v>
      </c>
      <c r="B117" s="15" t="str">
        <f>Orçamento!C79</f>
        <v>TAMPA CONDULETE PVC P/2 INTER.1 SECAO SEPARADOS</v>
      </c>
      <c r="C117" s="6" t="str">
        <f>Orçamento!E79</f>
        <v>UND.</v>
      </c>
      <c r="D117" s="87">
        <f>Orçamento!D79</f>
        <v>25</v>
      </c>
      <c r="E117" s="61"/>
    </row>
    <row r="118" spans="1:5" ht="25.5" x14ac:dyDescent="0.2">
      <c r="A118" s="10" t="s">
        <v>319</v>
      </c>
      <c r="B118" s="15" t="str">
        <f>Orçamento!C80</f>
        <v>INTERRUPTOR SIMPLES 1 SEÇÃO E 1 TOMADA HEXAGONAL 2P + T - 10A CONJUGADOS</v>
      </c>
      <c r="C118" s="6" t="str">
        <f>Orçamento!E80</f>
        <v>UND.</v>
      </c>
      <c r="D118" s="87">
        <f>Orçamento!D80</f>
        <v>15</v>
      </c>
      <c r="E118" s="61"/>
    </row>
    <row r="119" spans="1:5" x14ac:dyDescent="0.2">
      <c r="A119" s="10" t="s">
        <v>322</v>
      </c>
      <c r="B119" s="15" t="str">
        <f>Orçamento!C81</f>
        <v>TOMADA HEXAGONAL DUPLA 2P + T - 10A - 250V</v>
      </c>
      <c r="C119" s="6" t="str">
        <f>Orçamento!E81</f>
        <v>UND.</v>
      </c>
      <c r="D119" s="87">
        <f>Orçamento!D81</f>
        <v>25</v>
      </c>
      <c r="E119" s="61"/>
    </row>
    <row r="120" spans="1:5" x14ac:dyDescent="0.2">
      <c r="A120" s="10" t="s">
        <v>323</v>
      </c>
      <c r="B120" s="15" t="str">
        <f>Orçamento!C82</f>
        <v>TOMADA HEXAGONAL 2P + T - 10A - 250V</v>
      </c>
      <c r="C120" s="6" t="str">
        <f>Orçamento!E82</f>
        <v>UND.</v>
      </c>
      <c r="D120" s="87">
        <f>Orçamento!D82</f>
        <v>13</v>
      </c>
      <c r="E120" s="61"/>
    </row>
    <row r="121" spans="1:5" x14ac:dyDescent="0.2">
      <c r="A121" s="10" t="s">
        <v>324</v>
      </c>
      <c r="B121" s="15" t="str">
        <f>Orçamento!C84</f>
        <v>INTERRUPTOR 1 SECAO LINHA X</v>
      </c>
      <c r="C121" s="6" t="str">
        <f>Orçamento!E84</f>
        <v>UND.</v>
      </c>
      <c r="D121" s="87">
        <f>Orçamento!D84</f>
        <v>1</v>
      </c>
      <c r="E121" s="61"/>
    </row>
    <row r="122" spans="1:5" x14ac:dyDescent="0.2">
      <c r="A122" s="10" t="s">
        <v>325</v>
      </c>
      <c r="B122" s="15" t="str">
        <f>Orçamento!C85</f>
        <v>INTERRUPTOR 2 SECOES LINHA X</v>
      </c>
      <c r="C122" s="6" t="str">
        <f>Orçamento!E85</f>
        <v>UND.</v>
      </c>
      <c r="D122" s="87">
        <f>Orçamento!D85</f>
        <v>5</v>
      </c>
      <c r="E122" s="61"/>
    </row>
    <row r="123" spans="1:5" x14ac:dyDescent="0.2">
      <c r="A123" s="10" t="s">
        <v>327</v>
      </c>
      <c r="B123" s="15" t="str">
        <f>Orçamento!C86</f>
        <v>TAMPA CONDULETE PVC P/1 INTERRUPTOR DE 1 SECAO</v>
      </c>
      <c r="C123" s="6" t="str">
        <f>Orçamento!E86</f>
        <v>UND.</v>
      </c>
      <c r="D123" s="87">
        <f>Orçamento!D86</f>
        <v>1</v>
      </c>
      <c r="E123" s="61"/>
    </row>
    <row r="124" spans="1:5" x14ac:dyDescent="0.2">
      <c r="A124" s="10" t="s">
        <v>328</v>
      </c>
      <c r="B124" s="15" t="str">
        <f>Orçamento!C87</f>
        <v>TAMPA CONDULETE PVC P/2 INTERRUP.1 SECAO JUNTOS</v>
      </c>
      <c r="C124" s="6" t="str">
        <f>Orçamento!E87</f>
        <v>UND.</v>
      </c>
      <c r="D124" s="87">
        <f>Orçamento!D87</f>
        <v>5</v>
      </c>
      <c r="E124" s="61"/>
    </row>
    <row r="125" spans="1:5" x14ac:dyDescent="0.2">
      <c r="A125" s="10" t="s">
        <v>329</v>
      </c>
      <c r="B125" s="15" t="str">
        <f>Orçamento!C88</f>
        <v>DISJUNTOR MONOPOLAR DE 10 A 30-A</v>
      </c>
      <c r="C125" s="6" t="str">
        <f>Orçamento!E88</f>
        <v>UND.</v>
      </c>
      <c r="D125" s="87">
        <f>Orçamento!D88</f>
        <v>28</v>
      </c>
      <c r="E125" s="61"/>
    </row>
    <row r="126" spans="1:5" x14ac:dyDescent="0.2">
      <c r="A126" s="10" t="s">
        <v>330</v>
      </c>
      <c r="B126" s="15" t="str">
        <f>Orçamento!C89</f>
        <v>DISJUNTOR TRIPOLAR DE 60 A 100-A</v>
      </c>
      <c r="C126" s="6" t="str">
        <f>Orçamento!E89</f>
        <v>UND.</v>
      </c>
      <c r="D126" s="87">
        <f>Orçamento!D89</f>
        <v>1</v>
      </c>
      <c r="E126" s="61"/>
    </row>
    <row r="127" spans="1:5" ht="25.5" x14ac:dyDescent="0.2">
      <c r="A127" s="10" t="s">
        <v>332</v>
      </c>
      <c r="B127" s="15" t="str">
        <f>Orçamento!C90</f>
        <v>DISPOSITIVO DE PROTEÇÃO CONTRA SURTOS (D.P.S.) 275V DE 8 A 40KA</v>
      </c>
      <c r="C127" s="6" t="str">
        <f>Orçamento!E90</f>
        <v>UND.</v>
      </c>
      <c r="D127" s="87">
        <f>Orçamento!D90</f>
        <v>15</v>
      </c>
      <c r="E127" s="61"/>
    </row>
    <row r="128" spans="1:5" x14ac:dyDescent="0.2">
      <c r="A128" s="10" t="s">
        <v>333</v>
      </c>
      <c r="B128" s="15" t="str">
        <f>Orçamento!C91</f>
        <v>INTERRUPTOR DIFERENCIAL RESIDUAL (D.R.) BIPOLAR DE 25A-30mA</v>
      </c>
      <c r="C128" s="6" t="str">
        <f>Orçamento!E91</f>
        <v>UND.</v>
      </c>
      <c r="D128" s="87">
        <f>Orçamento!D91</f>
        <v>11</v>
      </c>
      <c r="E128" s="61"/>
    </row>
    <row r="129" spans="1:5" x14ac:dyDescent="0.2">
      <c r="A129" s="10" t="s">
        <v>335</v>
      </c>
      <c r="B129" s="15" t="str">
        <f>Orçamento!C92</f>
        <v xml:space="preserve">ELETRODUTO PVC FLEXÍVEL - MANGUEIRA CORRUGADA - DIAM. 1" </v>
      </c>
      <c r="C129" s="6" t="str">
        <f>Orçamento!E92</f>
        <v>M</v>
      </c>
      <c r="D129" s="87">
        <f>Orçamento!D92</f>
        <v>111.52</v>
      </c>
      <c r="E129" s="123" t="s">
        <v>745</v>
      </c>
    </row>
    <row r="130" spans="1:5" x14ac:dyDescent="0.2">
      <c r="A130" s="10" t="s">
        <v>746</v>
      </c>
      <c r="B130" s="15" t="s">
        <v>734</v>
      </c>
      <c r="C130" s="6"/>
      <c r="D130" s="87">
        <v>12.7</v>
      </c>
      <c r="E130" s="123">
        <v>12.7</v>
      </c>
    </row>
    <row r="131" spans="1:5" ht="25.5" x14ac:dyDescent="0.2">
      <c r="A131" s="10" t="s">
        <v>747</v>
      </c>
      <c r="B131" s="15" t="s">
        <v>735</v>
      </c>
      <c r="C131" s="6" t="s">
        <v>33</v>
      </c>
      <c r="D131" s="87">
        <f>10.3+2.39+2.07+2.3+1.86+10.78+4.91+2.38+2.4+21.56+10.8+(9*2.36)+5.82</f>
        <v>98.81</v>
      </c>
      <c r="E131" s="123" t="s">
        <v>744</v>
      </c>
    </row>
    <row r="132" spans="1:5" x14ac:dyDescent="0.2">
      <c r="A132" s="10" t="s">
        <v>337</v>
      </c>
      <c r="B132" s="15" t="str">
        <f>Orçamento!C93</f>
        <v>ELETRODUTO PVC FLEXÍVEL - MANGUEIRA CORRUGADA - DIAM. 3/4"</v>
      </c>
      <c r="C132" s="6" t="str">
        <f>Orçamento!E93</f>
        <v>M</v>
      </c>
      <c r="D132" s="87">
        <f>Orçamento!D93</f>
        <v>423.07</v>
      </c>
      <c r="E132" s="123" t="s">
        <v>740</v>
      </c>
    </row>
    <row r="133" spans="1:5" ht="25.5" x14ac:dyDescent="0.2">
      <c r="A133" s="10" t="s">
        <v>748</v>
      </c>
      <c r="B133" s="15" t="s">
        <v>590</v>
      </c>
      <c r="C133" s="6" t="s">
        <v>33</v>
      </c>
      <c r="D133" s="87">
        <f>3.18+2.8+2.74+2.71+2.55+1.63+0.25+1.66+1.7+1.67+1.72+1.7+2.88+1.22+1.51</f>
        <v>29.919999999999998</v>
      </c>
      <c r="E133" s="123" t="s">
        <v>738</v>
      </c>
    </row>
    <row r="134" spans="1:5" x14ac:dyDescent="0.2">
      <c r="A134" s="10" t="s">
        <v>749</v>
      </c>
      <c r="B134" s="15" t="s">
        <v>734</v>
      </c>
      <c r="C134" s="6" t="s">
        <v>33</v>
      </c>
      <c r="D134" s="87">
        <f>4.85+5.95+15.3</f>
        <v>26.1</v>
      </c>
      <c r="E134" s="123" t="s">
        <v>739</v>
      </c>
    </row>
    <row r="135" spans="1:5" x14ac:dyDescent="0.2">
      <c r="A135" s="10" t="s">
        <v>750</v>
      </c>
      <c r="B135" s="15" t="s">
        <v>735</v>
      </c>
      <c r="C135" s="6" t="s">
        <v>33</v>
      </c>
      <c r="D135" s="87">
        <f>D132-D133-D134</f>
        <v>367.04999999999995</v>
      </c>
      <c r="E135" s="123">
        <v>367.05</v>
      </c>
    </row>
    <row r="136" spans="1:5" x14ac:dyDescent="0.2">
      <c r="A136" s="10" t="s">
        <v>338</v>
      </c>
      <c r="B136" s="15" t="str">
        <f>Orçamento!C94</f>
        <v>ELETRODUTO DE PVC RIGIDO DIAMETRO 3/4"</v>
      </c>
      <c r="C136" s="6" t="str">
        <f>Orçamento!E94</f>
        <v xml:space="preserve">M </v>
      </c>
      <c r="D136" s="87">
        <f>(6*6.64)+6.19</f>
        <v>46.029999999999994</v>
      </c>
      <c r="E136" s="123" t="s">
        <v>742</v>
      </c>
    </row>
    <row r="137" spans="1:5" x14ac:dyDescent="0.2">
      <c r="A137" s="10" t="s">
        <v>339</v>
      </c>
      <c r="B137" s="15" t="str">
        <f>Orçamento!C95</f>
        <v>ELETRODUTO PVC FLEXÍVEL - MANGUEIRA CORRUGADA - DIAM. 1 1/2"</v>
      </c>
      <c r="C137" s="6" t="str">
        <f>Orçamento!E95</f>
        <v>M</v>
      </c>
      <c r="D137" s="87">
        <f>SUM(D138:D139)</f>
        <v>37.910000000000004</v>
      </c>
      <c r="E137" s="123" t="s">
        <v>741</v>
      </c>
    </row>
    <row r="138" spans="1:5" x14ac:dyDescent="0.2">
      <c r="A138" s="10" t="s">
        <v>751</v>
      </c>
      <c r="B138" s="15" t="s">
        <v>735</v>
      </c>
      <c r="C138" s="6" t="s">
        <v>33</v>
      </c>
      <c r="D138" s="87">
        <f>4.56+15.3+5.42</f>
        <v>25.28</v>
      </c>
      <c r="E138" s="123" t="s">
        <v>743</v>
      </c>
    </row>
    <row r="139" spans="1:5" x14ac:dyDescent="0.2">
      <c r="A139" s="10" t="s">
        <v>752</v>
      </c>
      <c r="B139" s="15" t="s">
        <v>734</v>
      </c>
      <c r="C139" s="6" t="s">
        <v>33</v>
      </c>
      <c r="D139" s="87">
        <f>E139</f>
        <v>12.63</v>
      </c>
      <c r="E139" s="123">
        <v>12.63</v>
      </c>
    </row>
    <row r="140" spans="1:5" x14ac:dyDescent="0.2">
      <c r="A140" s="10" t="s">
        <v>340</v>
      </c>
      <c r="B140" s="7" t="s">
        <v>736</v>
      </c>
      <c r="C140" s="6" t="s">
        <v>33</v>
      </c>
      <c r="D140" s="87">
        <f>23.7+30.4</f>
        <v>54.099999999999994</v>
      </c>
      <c r="E140" s="123" t="s">
        <v>737</v>
      </c>
    </row>
    <row r="141" spans="1:5" x14ac:dyDescent="0.2">
      <c r="A141" s="10" t="s">
        <v>341</v>
      </c>
      <c r="B141" s="15" t="str">
        <f>Orçamento!C97</f>
        <v>CALHA FLUORESCENTE DE EMBUTIR 2 X 16 OU 2 X 20 W</v>
      </c>
      <c r="C141" s="6" t="str">
        <f>Orçamento!E97</f>
        <v>UND.</v>
      </c>
      <c r="D141" s="87">
        <f>Orçamento!D97</f>
        <v>6</v>
      </c>
      <c r="E141" s="61"/>
    </row>
    <row r="142" spans="1:5" x14ac:dyDescent="0.2">
      <c r="A142" s="10" t="s">
        <v>342</v>
      </c>
      <c r="B142" s="15" t="str">
        <f>Orçamento!C98</f>
        <v>CALHA FLUORESCENTE DE EMBUTIR 2 X 32 OU 2 X 40 W</v>
      </c>
      <c r="C142" s="6" t="str">
        <f>Orçamento!E98</f>
        <v>UND.</v>
      </c>
      <c r="D142" s="87">
        <f>Orçamento!D98</f>
        <v>2</v>
      </c>
      <c r="E142" s="61"/>
    </row>
    <row r="143" spans="1:5" x14ac:dyDescent="0.2">
      <c r="A143" s="10" t="s">
        <v>343</v>
      </c>
      <c r="B143" s="15" t="str">
        <f>Orçamento!C99</f>
        <v>LUMINARIA CIRCULAR COM VIDRO P/QUADRA 400 W, P/BASE E-40</v>
      </c>
      <c r="C143" s="6" t="str">
        <f>Orçamento!E99</f>
        <v>UND.</v>
      </c>
      <c r="D143" s="87">
        <f>Orçamento!D99</f>
        <v>4</v>
      </c>
      <c r="E143" s="61"/>
    </row>
    <row r="144" spans="1:5" x14ac:dyDescent="0.2">
      <c r="A144" s="10" t="s">
        <v>345</v>
      </c>
      <c r="B144" s="15" t="str">
        <f>Orçamento!C100</f>
        <v>PROJETOR CIRCULAR COM VIDRO (ATE 400 W) BASE E-40</v>
      </c>
      <c r="C144" s="6" t="str">
        <f>Orçamento!E100</f>
        <v>UND.</v>
      </c>
      <c r="D144" s="87">
        <f>Orçamento!D100</f>
        <v>4</v>
      </c>
      <c r="E144" s="61"/>
    </row>
    <row r="145" spans="1:5" x14ac:dyDescent="0.2">
      <c r="A145" s="10" t="s">
        <v>347</v>
      </c>
      <c r="B145" s="15" t="str">
        <f>Orçamento!C101</f>
        <v>REATOR AFP V.METALICO 400 W</v>
      </c>
      <c r="C145" s="6" t="str">
        <f>Orçamento!E101</f>
        <v>UND.</v>
      </c>
      <c r="D145" s="87">
        <f>Orçamento!D101</f>
        <v>4</v>
      </c>
      <c r="E145" s="61"/>
    </row>
    <row r="146" spans="1:5" x14ac:dyDescent="0.2">
      <c r="A146" s="10" t="s">
        <v>349</v>
      </c>
      <c r="B146" s="15" t="str">
        <f>Orçamento!C102</f>
        <v>REATOR ELETRONICO AFP 2 X 20 W</v>
      </c>
      <c r="C146" s="6" t="str">
        <f>Orçamento!E102</f>
        <v>UND.</v>
      </c>
      <c r="D146" s="87">
        <f>Orçamento!D102</f>
        <v>6</v>
      </c>
      <c r="E146" s="61"/>
    </row>
    <row r="147" spans="1:5" x14ac:dyDescent="0.2">
      <c r="A147" s="10" t="s">
        <v>351</v>
      </c>
      <c r="B147" s="15" t="str">
        <f>Orçamento!C103</f>
        <v>REATOR ELETRONICO AFP 2 X 40 W</v>
      </c>
      <c r="C147" s="6" t="str">
        <f>Orçamento!E103</f>
        <v>UND.</v>
      </c>
      <c r="D147" s="87">
        <f>Orçamento!D103</f>
        <v>2</v>
      </c>
      <c r="E147" s="61"/>
    </row>
    <row r="148" spans="1:5" ht="25.5" x14ac:dyDescent="0.2">
      <c r="A148" s="10" t="s">
        <v>352</v>
      </c>
      <c r="B148" s="15" t="str">
        <f>Orçamento!C104</f>
        <v>LUMINARIA DE EMBUTIR P/LÂMPADA COMPACTA ELETRÔNICA 1X26W C/SOQ.</v>
      </c>
      <c r="C148" s="6" t="str">
        <f>Orçamento!E104</f>
        <v>UND.</v>
      </c>
      <c r="D148" s="87">
        <f>Orçamento!D104</f>
        <v>14</v>
      </c>
      <c r="E148" s="61"/>
    </row>
    <row r="149" spans="1:5" x14ac:dyDescent="0.2">
      <c r="A149" s="10" t="s">
        <v>355</v>
      </c>
      <c r="B149" s="15" t="str">
        <f>Orçamento!C105</f>
        <v>SOQUETE ANTIVIBRATORIO P/LAMP.FLUORESCENTE</v>
      </c>
      <c r="C149" s="6" t="str">
        <f>Orçamento!E105</f>
        <v>UND.</v>
      </c>
      <c r="D149" s="87">
        <f>Orçamento!D105</f>
        <v>32</v>
      </c>
      <c r="E149" s="61"/>
    </row>
    <row r="150" spans="1:5" x14ac:dyDescent="0.2">
      <c r="A150" s="10" t="s">
        <v>357</v>
      </c>
      <c r="B150" s="15" t="str">
        <f>Orçamento!C106</f>
        <v>SPOT SIMPLES</v>
      </c>
      <c r="C150" s="6" t="str">
        <f>Orçamento!E106</f>
        <v>UND.</v>
      </c>
      <c r="D150" s="87">
        <f>Orçamento!D106</f>
        <v>14</v>
      </c>
      <c r="E150" s="61"/>
    </row>
    <row r="151" spans="1:5" x14ac:dyDescent="0.2">
      <c r="A151" s="10" t="s">
        <v>358</v>
      </c>
      <c r="B151" s="15" t="str">
        <f>Orçamento!C107</f>
        <v>LAMPADA VAPOR METALICO OVOIDE 400 W</v>
      </c>
      <c r="C151" s="6" t="str">
        <f>Orçamento!E107</f>
        <v>UND.</v>
      </c>
      <c r="D151" s="87">
        <f>Orçamento!D107</f>
        <v>4</v>
      </c>
      <c r="E151" s="61"/>
    </row>
    <row r="152" spans="1:5" x14ac:dyDescent="0.2">
      <c r="A152" s="10" t="s">
        <v>359</v>
      </c>
      <c r="B152" s="15" t="str">
        <f>Orçamento!C108</f>
        <v>LAMPADA COMPACTA ELETRÔNICA 11 W</v>
      </c>
      <c r="C152" s="6" t="str">
        <f>Orçamento!E108</f>
        <v>UND.</v>
      </c>
      <c r="D152" s="87">
        <f>Orçamento!D108</f>
        <v>36</v>
      </c>
      <c r="E152" s="61"/>
    </row>
    <row r="153" spans="1:5" x14ac:dyDescent="0.2">
      <c r="A153" s="10" t="s">
        <v>360</v>
      </c>
      <c r="B153" s="15" t="str">
        <f>Orçamento!C109</f>
        <v>LAMPADA COMPACTA ELETRÔNICA 25/26 W</v>
      </c>
      <c r="C153" s="6" t="str">
        <f>Orçamento!E109</f>
        <v>UND.</v>
      </c>
      <c r="D153" s="87">
        <f>Orçamento!D109</f>
        <v>2</v>
      </c>
      <c r="E153" s="61"/>
    </row>
    <row r="154" spans="1:5" x14ac:dyDescent="0.2">
      <c r="A154" s="10" t="s">
        <v>361</v>
      </c>
      <c r="B154" s="15" t="str">
        <f>Orçamento!C110</f>
        <v>LAMPADA COMPACTA ELETRÔNICA 9 W</v>
      </c>
      <c r="C154" s="6" t="str">
        <f>Orçamento!E110</f>
        <v>UND.</v>
      </c>
      <c r="D154" s="87">
        <f>Orçamento!D110</f>
        <v>7</v>
      </c>
      <c r="E154" s="61"/>
    </row>
    <row r="155" spans="1:5" x14ac:dyDescent="0.2">
      <c r="A155" s="10" t="s">
        <v>362</v>
      </c>
      <c r="B155" s="15" t="str">
        <f>Orçamento!C111</f>
        <v>LAMPADA FLUORESCENTE DE 20 W.</v>
      </c>
      <c r="C155" s="6" t="str">
        <f>Orçamento!E111</f>
        <v>UND.</v>
      </c>
      <c r="D155" s="87">
        <f>Orçamento!D111</f>
        <v>20</v>
      </c>
      <c r="E155" s="61"/>
    </row>
    <row r="156" spans="1:5" x14ac:dyDescent="0.2">
      <c r="A156" s="10" t="s">
        <v>363</v>
      </c>
      <c r="B156" s="15" t="str">
        <f>Orçamento!C112</f>
        <v>LAMPADA FLUORESCENTE DE 40 W.</v>
      </c>
      <c r="C156" s="6" t="str">
        <f>Orçamento!E112</f>
        <v>UND.</v>
      </c>
      <c r="D156" s="87">
        <f>Orçamento!D112</f>
        <v>4</v>
      </c>
      <c r="E156" s="61"/>
    </row>
    <row r="157" spans="1:5" x14ac:dyDescent="0.2">
      <c r="A157" s="10" t="s">
        <v>365</v>
      </c>
      <c r="B157" s="15" t="str">
        <f>Orçamento!C113</f>
        <v>ARMACAO SECUNDARIA LEVE 4 ELEMENTOS</v>
      </c>
      <c r="C157" s="6" t="str">
        <f>Orçamento!E113</f>
        <v>UND.</v>
      </c>
      <c r="D157" s="87">
        <f>Orçamento!D113</f>
        <v>1</v>
      </c>
      <c r="E157" s="61"/>
    </row>
    <row r="158" spans="1:5" x14ac:dyDescent="0.2">
      <c r="A158" s="10" t="s">
        <v>367</v>
      </c>
      <c r="B158" s="15" t="str">
        <f>Orçamento!C114</f>
        <v>ALCA PREFORMADA DE DISTRIBUICAO</v>
      </c>
      <c r="C158" s="6" t="str">
        <f>Orçamento!E114</f>
        <v>UND.</v>
      </c>
      <c r="D158" s="87">
        <f>Orçamento!D114</f>
        <v>1</v>
      </c>
      <c r="E158" s="61"/>
    </row>
    <row r="159" spans="1:5" x14ac:dyDescent="0.2">
      <c r="A159" s="10" t="s">
        <v>369</v>
      </c>
      <c r="B159" s="15" t="str">
        <f>Orçamento!C115</f>
        <v>CABECOTE DE LIGA DE ALUMINIO DIAM. 1"</v>
      </c>
      <c r="C159" s="6" t="str">
        <f>Orçamento!E115</f>
        <v>UND.</v>
      </c>
      <c r="D159" s="87">
        <f>Orçamento!D115</f>
        <v>2</v>
      </c>
      <c r="E159" s="61"/>
    </row>
    <row r="160" spans="1:5" x14ac:dyDescent="0.2">
      <c r="A160" s="10" t="s">
        <v>371</v>
      </c>
      <c r="B160" s="15" t="str">
        <f>Orçamento!C116</f>
        <v>CINTA DE ACO GALVANIZADO DIAM.190 MM</v>
      </c>
      <c r="C160" s="6" t="str">
        <f>Orçamento!E116</f>
        <v>UND.</v>
      </c>
      <c r="D160" s="87">
        <f>Orçamento!D116</f>
        <v>4</v>
      </c>
      <c r="E160" s="61"/>
    </row>
    <row r="161" spans="1:5" x14ac:dyDescent="0.2">
      <c r="A161" s="10" t="s">
        <v>373</v>
      </c>
      <c r="B161" s="15" t="str">
        <f>Orçamento!C117</f>
        <v>HASTE REV.COBRE(COPPERWELD) 3/4" X 2,40 M C/CONECTOR</v>
      </c>
      <c r="C161" s="6" t="str">
        <f>Orçamento!E117</f>
        <v>UND.</v>
      </c>
      <c r="D161" s="87">
        <f>Orçamento!D117</f>
        <v>1</v>
      </c>
      <c r="E161" s="61"/>
    </row>
    <row r="162" spans="1:5" ht="28.5" customHeight="1" x14ac:dyDescent="0.2">
      <c r="A162" s="10" t="s">
        <v>375</v>
      </c>
      <c r="B162" s="15" t="str">
        <f>Orçamento!C118</f>
        <v>ISOLADOR ROLDANA PORCELANA 76 X 79</v>
      </c>
      <c r="C162" s="6" t="str">
        <f>Orçamento!E118</f>
        <v>UND.</v>
      </c>
      <c r="D162" s="87">
        <f>Orçamento!D118</f>
        <v>5</v>
      </c>
      <c r="E162" s="61"/>
    </row>
    <row r="163" spans="1:5" ht="38.25" x14ac:dyDescent="0.2">
      <c r="A163" s="10" t="s">
        <v>377</v>
      </c>
      <c r="B163" s="15" t="str">
        <f>Orçamento!C119</f>
        <v>POSTE SIMPLES CÔNICO CONTÍNUO, CIRCULAR, RETO, COM DIÂMETRO NOMINAL DE 60MM NA EXTREMIDADE, GALVANIZADO A FOGO, Hútil= 7 M - ENGASTADO EM CONCRETO COM FCK = 13,5 MPA</v>
      </c>
      <c r="C163" s="6" t="str">
        <f>Orçamento!E119</f>
        <v>UND.</v>
      </c>
      <c r="D163" s="87">
        <f>Orçamento!D119</f>
        <v>1</v>
      </c>
      <c r="E163" s="61"/>
    </row>
    <row r="164" spans="1:5" x14ac:dyDescent="0.2">
      <c r="A164" s="10" t="s">
        <v>379</v>
      </c>
      <c r="B164" s="15" t="str">
        <f>Orçamento!C120</f>
        <v>QUADRO DE DISTRIBUICAO CB 12-E -100A</v>
      </c>
      <c r="C164" s="6" t="str">
        <f>Orçamento!E120</f>
        <v>UND.</v>
      </c>
      <c r="D164" s="87">
        <f>Orçamento!D120</f>
        <v>3</v>
      </c>
      <c r="E164" s="61"/>
    </row>
    <row r="165" spans="1:5" x14ac:dyDescent="0.2">
      <c r="A165" s="10" t="s">
        <v>381</v>
      </c>
      <c r="B165" s="15" t="str">
        <f>Orçamento!C121</f>
        <v>QUADRO DE DISTRIBUICAO CB-20-E - 100A</v>
      </c>
      <c r="C165" s="6" t="str">
        <f>Orçamento!E121</f>
        <v>UND.</v>
      </c>
      <c r="D165" s="87">
        <f>Orçamento!D121</f>
        <v>1</v>
      </c>
      <c r="E165" s="61"/>
    </row>
    <row r="166" spans="1:5" x14ac:dyDescent="0.2">
      <c r="A166" s="10" t="s">
        <v>383</v>
      </c>
      <c r="B166" s="15" t="str">
        <f>Orçamento!C122</f>
        <v>CAIXA DE PASSAGEM METALICA 15X15X12 CM</v>
      </c>
      <c r="C166" s="6" t="str">
        <f>Orçamento!E122</f>
        <v>UND.</v>
      </c>
      <c r="D166" s="87">
        <f>Orçamento!D122</f>
        <v>1</v>
      </c>
      <c r="E166" s="61"/>
    </row>
    <row r="167" spans="1:5" x14ac:dyDescent="0.2">
      <c r="A167" s="10" t="s">
        <v>384</v>
      </c>
      <c r="B167" s="15" t="str">
        <f>Orçamento!C123</f>
        <v>TOMADA LOGICA RJ-45 TIPO KEYSTONE JACK, CAT. 6</v>
      </c>
      <c r="C167" s="6" t="str">
        <f>Orçamento!E123</f>
        <v>UND.</v>
      </c>
      <c r="D167" s="87">
        <f>Orçamento!D123</f>
        <v>6</v>
      </c>
      <c r="E167" s="61"/>
    </row>
    <row r="168" spans="1:5" x14ac:dyDescent="0.2">
      <c r="A168" s="10" t="s">
        <v>570</v>
      </c>
      <c r="B168" s="15" t="str">
        <f>Orçamento!C126</f>
        <v xml:space="preserve">MÃO FRANCESA SIMPLES LARGURA DE 50 MM </v>
      </c>
      <c r="C168" s="6" t="str">
        <f>Orçamento!E126</f>
        <v>UND.</v>
      </c>
      <c r="D168" s="87">
        <f>Orçamento!D126</f>
        <v>26</v>
      </c>
      <c r="E168" s="61"/>
    </row>
    <row r="169" spans="1:5" x14ac:dyDescent="0.2">
      <c r="A169" s="318"/>
      <c r="B169" s="319"/>
      <c r="C169" s="319"/>
      <c r="D169" s="319"/>
      <c r="E169" s="320"/>
    </row>
    <row r="170" spans="1:5" x14ac:dyDescent="0.2">
      <c r="A170" s="311" t="s">
        <v>57</v>
      </c>
      <c r="B170" s="312"/>
      <c r="C170" s="312"/>
      <c r="D170" s="312"/>
      <c r="E170" s="313"/>
    </row>
    <row r="171" spans="1:5" x14ac:dyDescent="0.2">
      <c r="A171" s="4">
        <v>7</v>
      </c>
      <c r="B171" s="233" t="s">
        <v>58</v>
      </c>
      <c r="C171" s="234"/>
      <c r="D171" s="234"/>
      <c r="E171" s="316"/>
    </row>
    <row r="172" spans="1:5" x14ac:dyDescent="0.2">
      <c r="A172" s="4" t="str">
        <f>Orçamento!A130</f>
        <v>7.1</v>
      </c>
      <c r="B172" s="233" t="str">
        <f>Orçamento!C130</f>
        <v>L O U C A S E M E T A I S</v>
      </c>
      <c r="C172" s="234"/>
      <c r="D172" s="234"/>
      <c r="E172" s="316"/>
    </row>
    <row r="173" spans="1:5" x14ac:dyDescent="0.2">
      <c r="A173" s="4" t="str">
        <f>Orçamento!A131</f>
        <v>7.2</v>
      </c>
      <c r="B173" s="233" t="str">
        <f>Orçamento!C131</f>
        <v>V A S O S A N I T A R I O / A C E S S O R I O S</v>
      </c>
      <c r="C173" s="234"/>
      <c r="D173" s="234"/>
      <c r="E173" s="316"/>
    </row>
    <row r="174" spans="1:5" ht="25.5" x14ac:dyDescent="0.2">
      <c r="A174" s="9" t="str">
        <f>Orçamento!A132</f>
        <v>7.3</v>
      </c>
      <c r="B174" s="17" t="str">
        <f>Orçamento!C132</f>
        <v xml:space="preserve">VASO SANITÁRIO COM CAIXA ACOPLADA 1ª LINHA COMPLETO - S/ ASSENTO </v>
      </c>
      <c r="C174" s="6" t="str">
        <f>Orçamento!E132</f>
        <v>UND.</v>
      </c>
      <c r="D174" s="88">
        <f>Orçamento!D132</f>
        <v>5</v>
      </c>
      <c r="E174" s="59"/>
    </row>
    <row r="175" spans="1:5" x14ac:dyDescent="0.2">
      <c r="A175" s="9" t="str">
        <f>Orçamento!A133</f>
        <v>7.4</v>
      </c>
      <c r="B175" s="17" t="str">
        <f>Orçamento!C133</f>
        <v>ANEL DE VEDAÇÃO PARA VASO SANITÁRIO</v>
      </c>
      <c r="C175" s="6" t="str">
        <f>Orçamento!E133</f>
        <v>UND.</v>
      </c>
      <c r="D175" s="88">
        <f>Orçamento!D133</f>
        <v>5</v>
      </c>
      <c r="E175" s="59"/>
    </row>
    <row r="176" spans="1:5" x14ac:dyDescent="0.2">
      <c r="A176" s="9" t="str">
        <f>Orçamento!A134</f>
        <v>7.5</v>
      </c>
      <c r="B176" s="17" t="str">
        <f>Orçamento!C134</f>
        <v>TUBO DE LIGACAO PVC CROMADO 1.1/2" / ESPUDE - (ENTRADA)</v>
      </c>
      <c r="C176" s="6" t="str">
        <f>Orçamento!E134</f>
        <v>UND.</v>
      </c>
      <c r="D176" s="88">
        <f>Orçamento!D134</f>
        <v>5</v>
      </c>
      <c r="E176" s="59"/>
    </row>
    <row r="177" spans="1:5" x14ac:dyDescent="0.2">
      <c r="A177" s="9" t="str">
        <f>Orçamento!A135</f>
        <v>7.6</v>
      </c>
      <c r="B177" s="17" t="str">
        <f>Orçamento!C135</f>
        <v>CONJUNTO DE FIXACAO P/VASO SANITARIO (PAR)</v>
      </c>
      <c r="C177" s="6" t="str">
        <f>Orçamento!E135</f>
        <v>CJ</v>
      </c>
      <c r="D177" s="88">
        <f>Orçamento!D135</f>
        <v>5</v>
      </c>
      <c r="E177" s="59"/>
    </row>
    <row r="178" spans="1:5" x14ac:dyDescent="0.2">
      <c r="A178" s="9" t="str">
        <f>Orçamento!A136</f>
        <v>7.7</v>
      </c>
      <c r="B178" s="17" t="str">
        <f>Orçamento!C136</f>
        <v>ASSENTO P/VASO SANITÁRIO 2ª LINHA</v>
      </c>
      <c r="C178" s="6" t="str">
        <f>Orçamento!E136</f>
        <v>UND.</v>
      </c>
      <c r="D178" s="88">
        <f>Orçamento!D136</f>
        <v>5</v>
      </c>
      <c r="E178" s="59"/>
    </row>
    <row r="179" spans="1:5" x14ac:dyDescent="0.2">
      <c r="A179" s="9" t="str">
        <f>Orçamento!A137</f>
        <v>7.8</v>
      </c>
      <c r="B179" s="17" t="str">
        <f>Orçamento!C137</f>
        <v>PORTA PAPEL HIGIENICO EM INOX</v>
      </c>
      <c r="C179" s="6" t="str">
        <f>Orçamento!E137</f>
        <v>UND.</v>
      </c>
      <c r="D179" s="88">
        <f>Orçamento!D137</f>
        <v>5</v>
      </c>
      <c r="E179" s="72"/>
    </row>
    <row r="180" spans="1:5" x14ac:dyDescent="0.2">
      <c r="A180" s="4" t="str">
        <f>Orçamento!A138</f>
        <v>7.2</v>
      </c>
      <c r="B180" s="233" t="str">
        <f>Orçamento!C138</f>
        <v>L A V A T O R I O / A C E S S O R I O S</v>
      </c>
      <c r="C180" s="234"/>
      <c r="D180" s="234"/>
      <c r="E180" s="316"/>
    </row>
    <row r="181" spans="1:5" x14ac:dyDescent="0.2">
      <c r="A181" s="9" t="str">
        <f>Orçamento!A139</f>
        <v>7.3</v>
      </c>
      <c r="B181" s="17" t="str">
        <f>Orçamento!C139</f>
        <v>LIGAÇÃO FLEXÍVEL PVC DIAM.1/2" (ENGATE)</v>
      </c>
      <c r="C181" s="6" t="str">
        <f>Orçamento!E139</f>
        <v>UND.</v>
      </c>
      <c r="D181" s="88">
        <f>Orçamento!D139</f>
        <v>11</v>
      </c>
      <c r="E181" s="59"/>
    </row>
    <row r="182" spans="1:5" ht="25.5" x14ac:dyDescent="0.2">
      <c r="A182" s="9" t="str">
        <f>Orçamento!A140</f>
        <v>7.4</v>
      </c>
      <c r="B182" s="17" t="str">
        <f>Orçamento!C140</f>
        <v>SIFAO FLEXIVEL UNIVERSAL ( SANFONADO) EM PVC CROMADO PARA LAVATORIO</v>
      </c>
      <c r="C182" s="6" t="str">
        <f>Orçamento!E140</f>
        <v>UND.</v>
      </c>
      <c r="D182" s="88">
        <f>Orçamento!D140</f>
        <v>9</v>
      </c>
      <c r="E182" s="59"/>
    </row>
    <row r="183" spans="1:5" x14ac:dyDescent="0.2">
      <c r="A183" s="9" t="str">
        <f>Orçamento!A141</f>
        <v>7.5</v>
      </c>
      <c r="B183" s="17" t="str">
        <f>Orçamento!C141</f>
        <v>TORNEIRA PARA LAVATÓRIO DIÂMETRO 1/2"</v>
      </c>
      <c r="C183" s="6" t="str">
        <f>Orçamento!E141</f>
        <v>UND.</v>
      </c>
      <c r="D183" s="88">
        <f>Orçamento!D141</f>
        <v>11</v>
      </c>
      <c r="E183" s="59"/>
    </row>
    <row r="184" spans="1:5" x14ac:dyDescent="0.2">
      <c r="A184" s="9" t="str">
        <f>Orçamento!A142</f>
        <v>7.6</v>
      </c>
      <c r="B184" s="17" t="str">
        <f>Orçamento!C142</f>
        <v>VALVULA P/LAVATORIO PVC DIAMETRO 1"</v>
      </c>
      <c r="C184" s="6" t="str">
        <f>Orçamento!E142</f>
        <v>UND.</v>
      </c>
      <c r="D184" s="88">
        <f>Orçamento!D142</f>
        <v>11</v>
      </c>
      <c r="E184" s="72"/>
    </row>
    <row r="185" spans="1:5" x14ac:dyDescent="0.2">
      <c r="A185" s="9" t="str">
        <f>Orçamento!A143</f>
        <v>7.7</v>
      </c>
      <c r="B185" s="17" t="str">
        <f>Orçamento!C143</f>
        <v>CUBA DE LOUÇA REDONDA DE EMBUTIR</v>
      </c>
      <c r="C185" s="6" t="str">
        <f>Orçamento!E143</f>
        <v>UND.</v>
      </c>
      <c r="D185" s="88">
        <f>Orçamento!D143</f>
        <v>9</v>
      </c>
      <c r="E185" s="59"/>
    </row>
    <row r="186" spans="1:5" x14ac:dyDescent="0.2">
      <c r="A186" s="4" t="str">
        <f>Orçamento!A144</f>
        <v>7.8</v>
      </c>
      <c r="B186" s="233" t="str">
        <f>Orçamento!C144</f>
        <v>P I A / A C E S S O R I O S</v>
      </c>
      <c r="C186" s="234"/>
      <c r="D186" s="234"/>
      <c r="E186" s="316"/>
    </row>
    <row r="187" spans="1:5" x14ac:dyDescent="0.2">
      <c r="A187" s="9" t="str">
        <f>Orçamento!A145</f>
        <v>7.9</v>
      </c>
      <c r="B187" s="17" t="str">
        <f>Orçamento!C145</f>
        <v>TORNEIRA P/PIA DIAM. 1/2" E 3/4" DE MESA - BICA MÓVEL</v>
      </c>
      <c r="C187" s="6" t="str">
        <f>Orçamento!E145</f>
        <v>UND.</v>
      </c>
      <c r="D187" s="88">
        <f>Orçamento!D145</f>
        <v>1</v>
      </c>
      <c r="E187" s="67"/>
    </row>
    <row r="188" spans="1:5" x14ac:dyDescent="0.2">
      <c r="A188" s="9" t="str">
        <f>Orçamento!A146</f>
        <v>7.10</v>
      </c>
      <c r="B188" s="17" t="str">
        <f>Orçamento!C146</f>
        <v>VALVULA P/PIA TIPO AMERICANA DIÂMETRO 3.1/2" (METAL)</v>
      </c>
      <c r="C188" s="6" t="str">
        <f>Orçamento!E146</f>
        <v>UND.</v>
      </c>
      <c r="D188" s="88">
        <f>Orçamento!D146</f>
        <v>1</v>
      </c>
      <c r="E188" s="59"/>
    </row>
    <row r="189" spans="1:5" x14ac:dyDescent="0.2">
      <c r="A189" s="9" t="str">
        <f>Orçamento!A147</f>
        <v>7.11</v>
      </c>
      <c r="B189" s="17" t="str">
        <f>Orçamento!C147</f>
        <v>CUBA INOX 50X40X20CM E=0,7MM-AÇO 304</v>
      </c>
      <c r="C189" s="6" t="str">
        <f>Orçamento!E147</f>
        <v>UND.</v>
      </c>
      <c r="D189" s="88">
        <f>Orçamento!D147</f>
        <v>1</v>
      </c>
      <c r="E189" s="67"/>
    </row>
    <row r="190" spans="1:5" x14ac:dyDescent="0.2">
      <c r="A190" s="9" t="str">
        <f>Orçamento!A148</f>
        <v>7.12</v>
      </c>
      <c r="B190" s="17" t="str">
        <f>Orçamento!C148</f>
        <v>SIFAO P/PIA 1.1/2"X2" PVC CROMADO</v>
      </c>
      <c r="C190" s="6" t="str">
        <f>Orçamento!E148</f>
        <v>UND.</v>
      </c>
      <c r="D190" s="88">
        <f>Orçamento!D148</f>
        <v>1</v>
      </c>
      <c r="E190" s="73"/>
    </row>
    <row r="191" spans="1:5" x14ac:dyDescent="0.2">
      <c r="A191" s="4" t="str">
        <f>Orçamento!A149</f>
        <v>7.13</v>
      </c>
      <c r="B191" s="233" t="str">
        <f>Orçamento!C149</f>
        <v>F I L T R O / C H U V E I R O</v>
      </c>
      <c r="C191" s="234"/>
      <c r="D191" s="234"/>
      <c r="E191" s="316"/>
    </row>
    <row r="192" spans="1:5" x14ac:dyDescent="0.2">
      <c r="A192" s="9" t="str">
        <f>Orçamento!A150</f>
        <v>7.14</v>
      </c>
      <c r="B192" s="17" t="str">
        <f>Orçamento!C150</f>
        <v>CHUVEIRO ELÉTRICO EM PVC COM BRAÇO METÁLICO</v>
      </c>
      <c r="C192" s="6" t="str">
        <f>Orçamento!E150</f>
        <v>UND.</v>
      </c>
      <c r="D192" s="88">
        <f>Orçamento!D150</f>
        <v>1</v>
      </c>
      <c r="E192" s="59"/>
    </row>
    <row r="193" spans="1:5" x14ac:dyDescent="0.2">
      <c r="A193" s="9" t="str">
        <f>Orçamento!A152</f>
        <v>7.16</v>
      </c>
      <c r="B193" s="17" t="str">
        <f>Orçamento!C152</f>
        <v>SABONETEIRA EM PVC</v>
      </c>
      <c r="C193" s="6" t="str">
        <f>Orçamento!E152</f>
        <v>UND.</v>
      </c>
      <c r="D193" s="88">
        <f>Orçamento!D152</f>
        <v>11</v>
      </c>
      <c r="E193" s="59"/>
    </row>
    <row r="194" spans="1:5" x14ac:dyDescent="0.2">
      <c r="A194" s="9" t="str">
        <f>Orçamento!A153</f>
        <v>7.17</v>
      </c>
      <c r="B194" s="347" t="str">
        <f>Orçamento!C153</f>
        <v>T A N Q U E S / T O R N E I R A S J A R D I M S</v>
      </c>
      <c r="C194" s="348"/>
      <c r="D194" s="348"/>
      <c r="E194" s="349"/>
    </row>
    <row r="195" spans="1:5" x14ac:dyDescent="0.2">
      <c r="A195" s="9" t="str">
        <f>Orçamento!A155</f>
        <v>7.18</v>
      </c>
      <c r="B195" s="17" t="str">
        <f>Orçamento!C155</f>
        <v xml:space="preserve">TANQUE MARMORE/GRANITO SINTÉTICO 1 BATEDOR </v>
      </c>
      <c r="C195" s="6" t="str">
        <f>Orçamento!E155</f>
        <v>UND.</v>
      </c>
      <c r="D195" s="88">
        <f>Orçamento!D155</f>
        <v>2</v>
      </c>
      <c r="E195" s="74"/>
    </row>
    <row r="196" spans="1:5" x14ac:dyDescent="0.2">
      <c r="A196" s="9" t="str">
        <f>Orçamento!A156</f>
        <v>7.19</v>
      </c>
      <c r="B196" s="17" t="str">
        <f>Orçamento!C156</f>
        <v>TORNEIRA DE PAREDE DIAM. 1/2" E 3/4" P/TANQUE</v>
      </c>
      <c r="C196" s="6" t="str">
        <f>Orçamento!E156</f>
        <v>UND.</v>
      </c>
      <c r="D196" s="88">
        <f>Orçamento!D156</f>
        <v>2</v>
      </c>
      <c r="E196" s="73"/>
    </row>
    <row r="197" spans="1:5" x14ac:dyDescent="0.2">
      <c r="A197" s="9" t="str">
        <f>Orçamento!A157</f>
        <v>7.20</v>
      </c>
      <c r="B197" s="17" t="str">
        <f>Orçamento!C157</f>
        <v>SIFAO P/TANQUE 1" X 1.1/2" - PVC</v>
      </c>
      <c r="C197" s="6" t="str">
        <f>Orçamento!E157</f>
        <v>UND.</v>
      </c>
      <c r="D197" s="88">
        <f>Orçamento!D157</f>
        <v>4</v>
      </c>
      <c r="E197" s="67"/>
    </row>
    <row r="198" spans="1:5" x14ac:dyDescent="0.2">
      <c r="A198" s="9" t="str">
        <f>Orçamento!A158</f>
        <v>7.21</v>
      </c>
      <c r="B198" s="17" t="str">
        <f>Orçamento!C158</f>
        <v>VÁLVULA PARA TANQUE PVC</v>
      </c>
      <c r="C198" s="6" t="str">
        <f>Orçamento!E158</f>
        <v>UND.</v>
      </c>
      <c r="D198" s="88">
        <f>Orçamento!D158</f>
        <v>2</v>
      </c>
      <c r="E198" s="67"/>
    </row>
    <row r="199" spans="1:5" x14ac:dyDescent="0.2">
      <c r="A199" s="4" t="str">
        <f>Orçamento!A159</f>
        <v>7.22</v>
      </c>
      <c r="B199" s="233" t="str">
        <f>Orçamento!C159</f>
        <v>R E G I S T R O S</v>
      </c>
      <c r="C199" s="234"/>
      <c r="D199" s="234"/>
      <c r="E199" s="316"/>
    </row>
    <row r="200" spans="1:5" x14ac:dyDescent="0.2">
      <c r="A200" s="9" t="str">
        <f>Orçamento!A160</f>
        <v>7.23</v>
      </c>
      <c r="B200" s="17" t="str">
        <f>Orçamento!C160</f>
        <v>REGISTRO DE GAVETA BRUTO DIAMETRO 3/4"</v>
      </c>
      <c r="C200" s="6" t="str">
        <f>Orçamento!E160</f>
        <v>UND.</v>
      </c>
      <c r="D200" s="88">
        <f>Orçamento!D160</f>
        <v>3</v>
      </c>
      <c r="E200" s="74"/>
    </row>
    <row r="201" spans="1:5" x14ac:dyDescent="0.2">
      <c r="A201" s="9" t="str">
        <f>Orçamento!A161</f>
        <v>7.24</v>
      </c>
      <c r="B201" s="17" t="str">
        <f>Orçamento!C161</f>
        <v>REGISTRO DE GAVETA BRUTO DIAMETRO 1"</v>
      </c>
      <c r="C201" s="6" t="str">
        <f>Orçamento!E161</f>
        <v>UND.</v>
      </c>
      <c r="D201" s="88">
        <f>Orçamento!D161</f>
        <v>4</v>
      </c>
      <c r="E201" s="73"/>
    </row>
    <row r="202" spans="1:5" x14ac:dyDescent="0.2">
      <c r="A202" s="9" t="str">
        <f>Orçamento!A162</f>
        <v>7.25</v>
      </c>
      <c r="B202" s="17" t="str">
        <f>Orçamento!C162</f>
        <v xml:space="preserve">REGISTRO DE GAVETA C/CANOPLA DIAMETRO 3/4" </v>
      </c>
      <c r="C202" s="6" t="str">
        <f>Orçamento!E162</f>
        <v>UND.</v>
      </c>
      <c r="D202" s="88">
        <f>Orçamento!D162</f>
        <v>3</v>
      </c>
      <c r="E202" s="74"/>
    </row>
    <row r="203" spans="1:5" x14ac:dyDescent="0.2">
      <c r="A203" s="9" t="str">
        <f>Orçamento!A163</f>
        <v>7.26</v>
      </c>
      <c r="B203" s="17" t="str">
        <f>Orçamento!C163</f>
        <v>REGISTRO DE GAVETA C/CANOPLA DIAMETRO 1"</v>
      </c>
      <c r="C203" s="6" t="str">
        <f>Orçamento!E163</f>
        <v>UND.</v>
      </c>
      <c r="D203" s="88">
        <f>Orçamento!D163</f>
        <v>2</v>
      </c>
      <c r="E203" s="73"/>
    </row>
    <row r="204" spans="1:5" x14ac:dyDescent="0.2">
      <c r="A204" s="9" t="str">
        <f>Orçamento!A164</f>
        <v>7.27</v>
      </c>
      <c r="B204" s="17" t="str">
        <f>Orçamento!C164</f>
        <v>REGISTRO DE PRESSÃO C/CANOPLA DIAMETRO 3/4"</v>
      </c>
      <c r="C204" s="6" t="str">
        <f>Orçamento!E164</f>
        <v>UND.</v>
      </c>
      <c r="D204" s="88">
        <f>Orçamento!D164</f>
        <v>1</v>
      </c>
      <c r="E204" s="75"/>
    </row>
    <row r="205" spans="1:5" x14ac:dyDescent="0.2">
      <c r="A205" s="4" t="str">
        <f>Orçamento!A165</f>
        <v>7.28</v>
      </c>
      <c r="B205" s="233" t="str">
        <f>Orçamento!C165</f>
        <v>AGUA FRIA</v>
      </c>
      <c r="C205" s="234"/>
      <c r="D205" s="234"/>
      <c r="E205" s="316"/>
    </row>
    <row r="206" spans="1:5" x14ac:dyDescent="0.2">
      <c r="A206" s="4" t="str">
        <f>Orçamento!A166</f>
        <v>7.29</v>
      </c>
      <c r="B206" s="233" t="str">
        <f>Orçamento!C166</f>
        <v>T U B O S  DE  P V C  S O L D A V E L</v>
      </c>
      <c r="C206" s="234"/>
      <c r="D206" s="234"/>
      <c r="E206" s="316"/>
    </row>
    <row r="207" spans="1:5" ht="102" x14ac:dyDescent="0.2">
      <c r="A207" s="9" t="str">
        <f>Orçamento!A167</f>
        <v>7.30</v>
      </c>
      <c r="B207" s="17" t="str">
        <f>Orçamento!C167</f>
        <v>TUBO SOLDAVEL PVC MARROM DIAMETRO 25 mm</v>
      </c>
      <c r="C207" s="6" t="str">
        <f>Orçamento!E167</f>
        <v>M</v>
      </c>
      <c r="D207" s="88">
        <f>2.87+1.87+0.0862+2.25+2.25+4.80175+6.42155+0.1724+3.13+2.03+1.45+0.35+0.35+0.45+0.45+0.2+0.2+0.5+0.5+0.3+0.3+0.45+0.45+0.4+19.19985+1.33315+0.63685+0.175+0.1724+0.3+0.63685+0.1412+10.68515+2.4195+0.5402+0.5+0.5+0.5+0.5+0.5+0.5+0.5+0.5+0.5+0.5+0.6+1.2+1.2+0.576+2.341+2.4+0.3+0.4+0.5+2.4+0.7+0.3+0.3+0.6+0.3+0.15+1.1+0.8+1+1.43+1.2+2.63+1.2+2.63+0.8+1.43+1.5+0.65+0.3+1.05+0.15+1.75+0.15+0.07</f>
        <v>107.57905000000001</v>
      </c>
      <c r="E207" s="61" t="s">
        <v>854</v>
      </c>
    </row>
    <row r="208" spans="1:5" ht="89.25" x14ac:dyDescent="0.2">
      <c r="A208" s="9" t="str">
        <f>Orçamento!A168</f>
        <v>7.31</v>
      </c>
      <c r="B208" s="17" t="str">
        <f>Orçamento!C168</f>
        <v>TUBO SOLDAVEL PVC MARROM DIAMETRO 32 mm</v>
      </c>
      <c r="C208" s="6" t="str">
        <f>Orçamento!E168</f>
        <v>M</v>
      </c>
      <c r="D208" s="88">
        <f>1.0025+1.8511+1.84985+1.84875+1.84925+1.8497+1.8507+1.873+1.84985+1.849+1.8914+0.23+0.23+1.2+1.5+0.25+0.2+0.5+0.2+0.7+0.23+0.8+2.5+0.23+1.2+1.5+0.5+0.3+2.33+3.1955+0.4241+1.53345+3.05545+1.2054+1.0631+5.26125+2.3308+4.594485+4.6705+4.70415+1.54385+0.6978+3.18745+2.32375+0.25775+1.87+1+0.2+0.75+0.2+0.2+0.3+0.2+0.3+0.2+0.3+0.2+0.3+0.2+0.3+0.3+0.2+0.3+0.2+0.4+1+3.13</f>
        <v>86.263885000000016</v>
      </c>
      <c r="E208" s="61" t="s">
        <v>855</v>
      </c>
    </row>
    <row r="209" spans="1:5" x14ac:dyDescent="0.2">
      <c r="A209" s="9" t="str">
        <f>Orçamento!A169</f>
        <v>7.32</v>
      </c>
      <c r="B209" s="233" t="str">
        <f>Orçamento!C169</f>
        <v>A D A P T A D O R E S  DE  P V C  S O L D A V E L</v>
      </c>
      <c r="C209" s="234"/>
      <c r="D209" s="234"/>
      <c r="E209" s="316"/>
    </row>
    <row r="210" spans="1:5" x14ac:dyDescent="0.2">
      <c r="A210" s="9" t="str">
        <f>Orçamento!A170</f>
        <v>7.33</v>
      </c>
      <c r="B210" s="17" t="str">
        <f>Orçamento!C170</f>
        <v>ADAPTAD.PVC SOLD.LONGO C/FLANGES LIVRES P/CX.DAGUA 25X3/4"</v>
      </c>
      <c r="C210" s="6" t="str">
        <f>Orçamento!E170</f>
        <v>UND.</v>
      </c>
      <c r="D210" s="58">
        <f>Orçamento!D170</f>
        <v>2</v>
      </c>
      <c r="E210" s="61"/>
    </row>
    <row r="211" spans="1:5" x14ac:dyDescent="0.2">
      <c r="A211" s="9" t="str">
        <f>Orçamento!A171</f>
        <v>7.34</v>
      </c>
      <c r="B211" s="17" t="str">
        <f>Orçamento!C171</f>
        <v>ADAPTADOR SOLD.C/FLANGES LIVRES P/CX.DAGUA 32X1"</v>
      </c>
      <c r="C211" s="6" t="str">
        <f>Orçamento!E171</f>
        <v>UND.</v>
      </c>
      <c r="D211" s="58">
        <f>Orçamento!D171</f>
        <v>1</v>
      </c>
      <c r="E211" s="61"/>
    </row>
    <row r="212" spans="1:5" x14ac:dyDescent="0.2">
      <c r="A212" s="9" t="str">
        <f>Orçamento!A172</f>
        <v>7.35</v>
      </c>
      <c r="B212" s="17" t="str">
        <f>Orçamento!C172</f>
        <v>ADAPTAD.SOLD.CURTO C/BOLSA E ROSCA P/REG.25X3/4"</v>
      </c>
      <c r="C212" s="6" t="str">
        <f>Orçamento!E172</f>
        <v>UND.</v>
      </c>
      <c r="D212" s="58">
        <f>Orçamento!D172</f>
        <v>18</v>
      </c>
      <c r="E212" s="61"/>
    </row>
    <row r="213" spans="1:5" x14ac:dyDescent="0.2">
      <c r="A213" s="9" t="str">
        <f>Orçamento!A173</f>
        <v>7.36</v>
      </c>
      <c r="B213" s="17" t="str">
        <f>Orçamento!C173</f>
        <v>ADAPTAD.SOLD.CURTO C/BOLSA E ROSCA P/REG.32X1"</v>
      </c>
      <c r="C213" s="6" t="str">
        <f>Orçamento!E173</f>
        <v>UND.</v>
      </c>
      <c r="D213" s="58">
        <f>Orçamento!D173</f>
        <v>13</v>
      </c>
      <c r="E213" s="61"/>
    </row>
    <row r="214" spans="1:5" x14ac:dyDescent="0.2">
      <c r="A214" s="4" t="str">
        <f>Orçamento!A174</f>
        <v>7.37</v>
      </c>
      <c r="B214" s="233" t="str">
        <f>Orçamento!C174</f>
        <v>L U V A S  DE  P V C</v>
      </c>
      <c r="C214" s="234"/>
      <c r="D214" s="234"/>
      <c r="E214" s="316"/>
    </row>
    <row r="215" spans="1:5" x14ac:dyDescent="0.2">
      <c r="A215" s="9" t="str">
        <f>Orçamento!A175</f>
        <v>7.38</v>
      </c>
      <c r="B215" s="17" t="str">
        <f>Orçamento!C175</f>
        <v>LUVA SOLDAVEL DIAMETRO 25 mm</v>
      </c>
      <c r="C215" s="6" t="str">
        <f>Orçamento!E175</f>
        <v>UND.</v>
      </c>
      <c r="D215" s="58">
        <f>Orçamento!D175</f>
        <v>16</v>
      </c>
      <c r="E215" s="61"/>
    </row>
    <row r="216" spans="1:5" x14ac:dyDescent="0.2">
      <c r="A216" s="9" t="str">
        <f>Orçamento!A176</f>
        <v>7.39</v>
      </c>
      <c r="B216" s="17" t="str">
        <f>Orçamento!C176</f>
        <v>LUVA SOLDAVEL DIAMETRO 32 mm</v>
      </c>
      <c r="C216" s="6" t="str">
        <f>Orçamento!E176</f>
        <v>UND.</v>
      </c>
      <c r="D216" s="58">
        <f>Orçamento!D176</f>
        <v>3</v>
      </c>
      <c r="E216" s="61"/>
    </row>
    <row r="217" spans="1:5" x14ac:dyDescent="0.2">
      <c r="A217" s="9" t="str">
        <f>Orçamento!A177</f>
        <v>7.40</v>
      </c>
      <c r="B217" s="17" t="str">
        <f>Orçamento!C177</f>
        <v>LUVA DE REDUCAO SOLDAVEL DIAMETRO 32 X 25 mm</v>
      </c>
      <c r="C217" s="6" t="str">
        <f>Orçamento!E177</f>
        <v>UND.</v>
      </c>
      <c r="D217" s="58">
        <f>Orçamento!D177</f>
        <v>7</v>
      </c>
      <c r="E217" s="61"/>
    </row>
    <row r="218" spans="1:5" x14ac:dyDescent="0.2">
      <c r="A218" s="4" t="str">
        <f>Orçamento!A178</f>
        <v>7.41</v>
      </c>
      <c r="B218" s="233" t="str">
        <f>Orçamento!C178</f>
        <v>LUVA SOLDAVEL C/ROSCA DIAMETRO 25 X 3/4"</v>
      </c>
      <c r="C218" s="234"/>
      <c r="D218" s="234"/>
      <c r="E218" s="316"/>
    </row>
    <row r="219" spans="1:5" x14ac:dyDescent="0.2">
      <c r="A219" s="4" t="str">
        <f>Orçamento!A179</f>
        <v>7.42</v>
      </c>
      <c r="B219" s="233" t="str">
        <f>Orçamento!C179</f>
        <v>J O E L H O S</v>
      </c>
      <c r="C219" s="234"/>
      <c r="D219" s="234"/>
      <c r="E219" s="316"/>
    </row>
    <row r="220" spans="1:5" x14ac:dyDescent="0.2">
      <c r="A220" s="9" t="str">
        <f>Orçamento!A180</f>
        <v>7.43</v>
      </c>
      <c r="B220" s="17" t="str">
        <f>Orçamento!C180</f>
        <v>JOELHO 90 GRAUS SOLDAVEL DIAMETRO 25 MM</v>
      </c>
      <c r="C220" s="6" t="str">
        <f>Orçamento!E180</f>
        <v>UND.</v>
      </c>
      <c r="D220" s="58">
        <f>Orçamento!D180</f>
        <v>29</v>
      </c>
      <c r="E220" s="61"/>
    </row>
    <row r="221" spans="1:5" x14ac:dyDescent="0.2">
      <c r="A221" s="9" t="str">
        <f>Orçamento!A181</f>
        <v>7.44</v>
      </c>
      <c r="B221" s="17" t="str">
        <f>Orçamento!C181</f>
        <v>JOELHO 90 GRAUS SOLDAVEL DIAMETRO 32 MM</v>
      </c>
      <c r="C221" s="6" t="str">
        <f>Orçamento!E181</f>
        <v>UND.</v>
      </c>
      <c r="D221" s="58">
        <f>Orçamento!D181</f>
        <v>12</v>
      </c>
      <c r="E221" s="61"/>
    </row>
    <row r="222" spans="1:5" x14ac:dyDescent="0.2">
      <c r="A222" s="9" t="str">
        <f>Orçamento!A182</f>
        <v>7.45</v>
      </c>
      <c r="B222" s="17" t="str">
        <f>Orçamento!C182</f>
        <v>JOELHO RED.90 GRAUS SOLD.C/BUCHA LATAO 25X1/2"</v>
      </c>
      <c r="C222" s="6" t="str">
        <f>Orçamento!E182</f>
        <v>UND.</v>
      </c>
      <c r="D222" s="58">
        <f>Orçamento!D182</f>
        <v>5</v>
      </c>
      <c r="E222" s="61"/>
    </row>
    <row r="223" spans="1:5" x14ac:dyDescent="0.2">
      <c r="A223" s="9" t="str">
        <f>Orçamento!A183</f>
        <v>7.46</v>
      </c>
      <c r="B223" s="17" t="str">
        <f>Orçamento!C183</f>
        <v>JOELHO REDUÇÃO 90º SOLDÁVEL 32 MM X 25 MM</v>
      </c>
      <c r="C223" s="6" t="str">
        <f>Orçamento!E183</f>
        <v>UND.</v>
      </c>
      <c r="D223" s="58">
        <f>Orçamento!D183</f>
        <v>5</v>
      </c>
      <c r="E223" s="61"/>
    </row>
    <row r="224" spans="1:5" x14ac:dyDescent="0.2">
      <c r="A224" s="9" t="str">
        <f>Orçamento!A184</f>
        <v>7.47</v>
      </c>
      <c r="B224" s="17" t="str">
        <f>Orçamento!C184</f>
        <v>JOELHO 90 GRAUS SOLD. C/BUCHA LATAO 25 X 3/4"</v>
      </c>
      <c r="C224" s="6" t="str">
        <f>Orçamento!E184</f>
        <v>UND.</v>
      </c>
      <c r="D224" s="58">
        <f>Orçamento!D184</f>
        <v>13</v>
      </c>
      <c r="E224" s="61"/>
    </row>
    <row r="225" spans="1:5" x14ac:dyDescent="0.2">
      <c r="A225" s="4" t="str">
        <f>Orçamento!A185</f>
        <v>7.48</v>
      </c>
      <c r="B225" s="233" t="str">
        <f>Orçamento!C185</f>
        <v xml:space="preserve">T E </v>
      </c>
      <c r="C225" s="234"/>
      <c r="D225" s="234"/>
      <c r="E225" s="316"/>
    </row>
    <row r="226" spans="1:5" x14ac:dyDescent="0.2">
      <c r="A226" s="9" t="str">
        <f>Orçamento!A186</f>
        <v>7.49</v>
      </c>
      <c r="B226" s="17" t="str">
        <f>Orçamento!C186</f>
        <v>TE 90 GRAUS SOLDAVEL DIAMETRO 25 mm</v>
      </c>
      <c r="C226" s="6" t="str">
        <f>Orçamento!E186</f>
        <v>UND.</v>
      </c>
      <c r="D226" s="88">
        <f>Orçamento!D186</f>
        <v>13</v>
      </c>
      <c r="E226" s="61"/>
    </row>
    <row r="227" spans="1:5" x14ac:dyDescent="0.2">
      <c r="A227" s="9" t="str">
        <f>Orçamento!A187</f>
        <v>7.50</v>
      </c>
      <c r="B227" s="17" t="str">
        <f>Orçamento!C187</f>
        <v>TE 90 GRAUS SOLDAVEL DIAMETRO 32 mm</v>
      </c>
      <c r="C227" s="6" t="str">
        <f>Orçamento!E187</f>
        <v>UND.</v>
      </c>
      <c r="D227" s="88">
        <f>Orçamento!D187</f>
        <v>10</v>
      </c>
      <c r="E227" s="61"/>
    </row>
    <row r="228" spans="1:5" x14ac:dyDescent="0.2">
      <c r="A228" s="9" t="str">
        <f>Orçamento!A188</f>
        <v>7.51</v>
      </c>
      <c r="B228" s="17" t="str">
        <f>Orçamento!C188</f>
        <v>TE REDUCAO 90 GRAUS SOLDAVEL 32 X 25 mm</v>
      </c>
      <c r="C228" s="6" t="str">
        <f>Orçamento!E188</f>
        <v>UND.</v>
      </c>
      <c r="D228" s="88">
        <f>Orçamento!D188</f>
        <v>10</v>
      </c>
      <c r="E228" s="61"/>
    </row>
    <row r="229" spans="1:5" x14ac:dyDescent="0.2">
      <c r="A229" s="4" t="str">
        <f>Orçamento!A189</f>
        <v>7.52</v>
      </c>
      <c r="B229" s="233" t="str">
        <f>Orçamento!C189</f>
        <v>C U R V A S</v>
      </c>
      <c r="C229" s="234"/>
      <c r="D229" s="234"/>
      <c r="E229" s="316"/>
    </row>
    <row r="230" spans="1:5" x14ac:dyDescent="0.2">
      <c r="A230" s="9" t="str">
        <f>Orçamento!A190</f>
        <v>7.53</v>
      </c>
      <c r="B230" s="17" t="str">
        <f>Orçamento!C190</f>
        <v>CURVA 90 GRAUS SOLDAVEL DIAMETRO 32 mm</v>
      </c>
      <c r="C230" s="6" t="str">
        <f>Orçamento!E190</f>
        <v>UND.</v>
      </c>
      <c r="D230" s="88">
        <f>Orçamento!D190</f>
        <v>17</v>
      </c>
      <c r="E230" s="61"/>
    </row>
    <row r="231" spans="1:5" x14ac:dyDescent="0.2">
      <c r="A231" s="4" t="str">
        <f>Orçamento!A191</f>
        <v>7.54</v>
      </c>
      <c r="B231" s="233" t="str">
        <f>Orçamento!C191</f>
        <v>A D E S I V O S</v>
      </c>
      <c r="C231" s="234"/>
      <c r="D231" s="234"/>
      <c r="E231" s="316"/>
    </row>
    <row r="232" spans="1:5" x14ac:dyDescent="0.2">
      <c r="A232" s="9" t="str">
        <f>Orçamento!A192</f>
        <v>7.55</v>
      </c>
      <c r="B232" s="17" t="str">
        <f>Orçamento!C192</f>
        <v xml:space="preserve"> ADESIVO PLASTICO - BISNAGA 75 G</v>
      </c>
      <c r="C232" s="6" t="str">
        <f>Orçamento!E192</f>
        <v>UND.</v>
      </c>
      <c r="D232" s="88">
        <f>Orçamento!D192</f>
        <v>4</v>
      </c>
      <c r="E232" s="61"/>
    </row>
    <row r="233" spans="1:5" x14ac:dyDescent="0.2">
      <c r="A233" s="4" t="str">
        <f>Orçamento!A193</f>
        <v>7.56</v>
      </c>
      <c r="B233" s="233" t="str">
        <f>Orçamento!C193</f>
        <v>ESGOTO SANITÁRIO</v>
      </c>
      <c r="C233" s="234"/>
      <c r="D233" s="234"/>
      <c r="E233" s="316"/>
    </row>
    <row r="234" spans="1:5" x14ac:dyDescent="0.2">
      <c r="A234" s="4" t="str">
        <f>Orçamento!A194</f>
        <v>7.57</v>
      </c>
      <c r="B234" s="263" t="s">
        <v>792</v>
      </c>
      <c r="C234" s="264"/>
      <c r="D234" s="264"/>
      <c r="E234" s="280"/>
    </row>
    <row r="235" spans="1:5" x14ac:dyDescent="0.2">
      <c r="A235" s="9" t="str">
        <f>Orçamento!A195</f>
        <v>7.58</v>
      </c>
      <c r="B235" s="133" t="s">
        <v>793</v>
      </c>
      <c r="C235" s="68" t="s">
        <v>2</v>
      </c>
      <c r="D235" s="81">
        <v>2</v>
      </c>
      <c r="E235" s="175"/>
    </row>
    <row r="236" spans="1:5" x14ac:dyDescent="0.2">
      <c r="A236" s="9" t="str">
        <f>Orçamento!A196</f>
        <v>7.59</v>
      </c>
      <c r="B236" s="133" t="s">
        <v>795</v>
      </c>
      <c r="C236" s="68" t="s">
        <v>2</v>
      </c>
      <c r="D236" s="81">
        <v>1</v>
      </c>
      <c r="E236" s="175"/>
    </row>
    <row r="237" spans="1:5" x14ac:dyDescent="0.2">
      <c r="A237" s="9" t="str">
        <f>Orçamento!A197</f>
        <v>7.60</v>
      </c>
      <c r="B237" s="133" t="s">
        <v>796</v>
      </c>
      <c r="C237" s="68" t="s">
        <v>2</v>
      </c>
      <c r="D237" s="81">
        <v>3</v>
      </c>
      <c r="E237" s="175"/>
    </row>
    <row r="238" spans="1:5" x14ac:dyDescent="0.2">
      <c r="A238" s="9" t="str">
        <f>Orçamento!A198</f>
        <v>7.61</v>
      </c>
      <c r="B238" s="133" t="s">
        <v>794</v>
      </c>
      <c r="C238" s="68" t="s">
        <v>2</v>
      </c>
      <c r="D238" s="81">
        <v>13</v>
      </c>
      <c r="E238" s="175"/>
    </row>
    <row r="239" spans="1:5" x14ac:dyDescent="0.2">
      <c r="A239" s="4" t="str">
        <f>Orçamento!A199</f>
        <v>7.62</v>
      </c>
      <c r="B239" s="263" t="s">
        <v>815</v>
      </c>
      <c r="C239" s="264"/>
      <c r="D239" s="264"/>
      <c r="E239" s="280"/>
    </row>
    <row r="240" spans="1:5" x14ac:dyDescent="0.2">
      <c r="A240" s="9" t="str">
        <f>Orçamento!A200</f>
        <v>7.63</v>
      </c>
      <c r="B240" s="133" t="s">
        <v>819</v>
      </c>
      <c r="C240" s="68" t="s">
        <v>2</v>
      </c>
      <c r="D240" s="81">
        <v>17</v>
      </c>
      <c r="E240" s="175"/>
    </row>
    <row r="241" spans="1:5" x14ac:dyDescent="0.2">
      <c r="A241" s="9" t="str">
        <f>Orçamento!A201</f>
        <v>7.64</v>
      </c>
      <c r="B241" s="133" t="s">
        <v>816</v>
      </c>
      <c r="C241" s="68" t="s">
        <v>2</v>
      </c>
      <c r="D241" s="81">
        <v>7</v>
      </c>
      <c r="E241" s="175"/>
    </row>
    <row r="242" spans="1:5" x14ac:dyDescent="0.2">
      <c r="A242" s="9" t="str">
        <f>Orçamento!A202</f>
        <v>7.65</v>
      </c>
      <c r="B242" s="133" t="s">
        <v>817</v>
      </c>
      <c r="C242" s="68" t="s">
        <v>2</v>
      </c>
      <c r="D242" s="81">
        <v>2</v>
      </c>
      <c r="E242" s="175"/>
    </row>
    <row r="243" spans="1:5" x14ac:dyDescent="0.2">
      <c r="A243" s="9" t="str">
        <f>Orçamento!A203</f>
        <v>7.66</v>
      </c>
      <c r="B243" s="133" t="s">
        <v>818</v>
      </c>
      <c r="C243" s="68" t="s">
        <v>2</v>
      </c>
      <c r="D243" s="81">
        <v>2</v>
      </c>
      <c r="E243" s="175"/>
    </row>
    <row r="244" spans="1:5" x14ac:dyDescent="0.2">
      <c r="A244" s="9" t="str">
        <f>Orçamento!A204</f>
        <v>7.67</v>
      </c>
      <c r="B244" s="133" t="s">
        <v>820</v>
      </c>
      <c r="C244" s="68" t="s">
        <v>2</v>
      </c>
      <c r="D244" s="81">
        <v>14</v>
      </c>
      <c r="E244" s="175"/>
    </row>
    <row r="245" spans="1:5" x14ac:dyDescent="0.2">
      <c r="A245" s="9" t="str">
        <f>Orçamento!A205</f>
        <v>7.68</v>
      </c>
      <c r="B245" s="133" t="s">
        <v>821</v>
      </c>
      <c r="C245" s="68" t="s">
        <v>2</v>
      </c>
      <c r="D245" s="81">
        <v>3</v>
      </c>
      <c r="E245" s="175"/>
    </row>
    <row r="246" spans="1:5" x14ac:dyDescent="0.2">
      <c r="A246" s="9" t="str">
        <f>Orçamento!A206</f>
        <v>7.69</v>
      </c>
      <c r="B246" s="133" t="s">
        <v>827</v>
      </c>
      <c r="C246" s="68" t="s">
        <v>2</v>
      </c>
      <c r="D246" s="81">
        <v>5</v>
      </c>
      <c r="E246" s="175"/>
    </row>
    <row r="247" spans="1:5" x14ac:dyDescent="0.2">
      <c r="A247" s="4" t="str">
        <f>Orçamento!A207</f>
        <v>7.70</v>
      </c>
      <c r="B247" s="224" t="s">
        <v>147</v>
      </c>
      <c r="C247" s="225"/>
      <c r="D247" s="225"/>
      <c r="E247" s="315"/>
    </row>
    <row r="248" spans="1:5" x14ac:dyDescent="0.2">
      <c r="A248" s="9" t="str">
        <f>Orçamento!A208</f>
        <v>7.71</v>
      </c>
      <c r="B248" s="15" t="s">
        <v>149</v>
      </c>
      <c r="C248" s="26" t="s">
        <v>2</v>
      </c>
      <c r="D248" s="142">
        <v>4</v>
      </c>
      <c r="E248" s="175"/>
    </row>
    <row r="249" spans="1:5" x14ac:dyDescent="0.2">
      <c r="A249" s="9" t="str">
        <f>Orçamento!A209</f>
        <v>7.72</v>
      </c>
      <c r="B249" s="15" t="s">
        <v>148</v>
      </c>
      <c r="C249" s="26" t="s">
        <v>2</v>
      </c>
      <c r="D249" s="142">
        <v>4</v>
      </c>
      <c r="E249" s="175"/>
    </row>
    <row r="250" spans="1:5" x14ac:dyDescent="0.2">
      <c r="A250" s="9" t="str">
        <f>Orçamento!A210</f>
        <v>7.73</v>
      </c>
      <c r="B250" s="133" t="s">
        <v>797</v>
      </c>
      <c r="C250" s="26" t="s">
        <v>2</v>
      </c>
      <c r="D250" s="142">
        <v>11</v>
      </c>
      <c r="E250" s="175"/>
    </row>
    <row r="251" spans="1:5" x14ac:dyDescent="0.2">
      <c r="A251" s="4" t="str">
        <f>Orçamento!A211</f>
        <v>7.74</v>
      </c>
      <c r="B251" s="224" t="s">
        <v>118</v>
      </c>
      <c r="C251" s="225"/>
      <c r="D251" s="225"/>
      <c r="E251" s="315"/>
    </row>
    <row r="252" spans="1:5" x14ac:dyDescent="0.2">
      <c r="A252" s="9" t="str">
        <f>Orçamento!A213</f>
        <v>7.76</v>
      </c>
      <c r="B252" s="133" t="s">
        <v>150</v>
      </c>
      <c r="C252" s="26" t="s">
        <v>2</v>
      </c>
      <c r="D252" s="142">
        <v>6</v>
      </c>
      <c r="E252" s="175"/>
    </row>
    <row r="253" spans="1:5" ht="25.5" x14ac:dyDescent="0.2">
      <c r="A253" s="9" t="str">
        <f>Orçamento!A214</f>
        <v>7.77</v>
      </c>
      <c r="B253" s="133" t="s">
        <v>152</v>
      </c>
      <c r="C253" s="26" t="s">
        <v>2</v>
      </c>
      <c r="D253" s="142">
        <v>6</v>
      </c>
      <c r="E253" s="175"/>
    </row>
    <row r="254" spans="1:5" ht="25.5" x14ac:dyDescent="0.2">
      <c r="A254" s="9" t="str">
        <f>Orçamento!A215</f>
        <v>7.78</v>
      </c>
      <c r="B254" s="133" t="s">
        <v>805</v>
      </c>
      <c r="C254" s="26" t="s">
        <v>2</v>
      </c>
      <c r="D254" s="142">
        <v>1</v>
      </c>
      <c r="E254" s="175"/>
    </row>
    <row r="255" spans="1:5" ht="25.5" x14ac:dyDescent="0.2">
      <c r="A255" s="9" t="str">
        <f>Orçamento!A216</f>
        <v>7.79</v>
      </c>
      <c r="B255" s="133" t="s">
        <v>804</v>
      </c>
      <c r="C255" s="26" t="s">
        <v>2</v>
      </c>
      <c r="D255" s="142">
        <v>3</v>
      </c>
      <c r="E255" s="175"/>
    </row>
    <row r="256" spans="1:5" x14ac:dyDescent="0.2">
      <c r="A256" s="9" t="str">
        <f>Orçamento!A217</f>
        <v>7.80</v>
      </c>
      <c r="B256" s="15" t="s">
        <v>97</v>
      </c>
      <c r="C256" s="26" t="s">
        <v>2</v>
      </c>
      <c r="D256" s="142">
        <v>1</v>
      </c>
      <c r="E256" s="175"/>
    </row>
    <row r="257" spans="1:5" ht="25.5" x14ac:dyDescent="0.2">
      <c r="A257" s="9" t="str">
        <f>Orçamento!A218</f>
        <v>7.81</v>
      </c>
      <c r="B257" s="7" t="s">
        <v>999</v>
      </c>
      <c r="C257" s="26" t="s">
        <v>2</v>
      </c>
      <c r="D257" s="142">
        <v>1</v>
      </c>
      <c r="E257" s="175"/>
    </row>
    <row r="258" spans="1:5" x14ac:dyDescent="0.2">
      <c r="A258" s="9" t="str">
        <f>Orçamento!A219</f>
        <v>7.82</v>
      </c>
      <c r="B258" s="139" t="s">
        <v>806</v>
      </c>
      <c r="C258" s="26" t="s">
        <v>2</v>
      </c>
      <c r="D258" s="142">
        <v>1</v>
      </c>
      <c r="E258" s="175"/>
    </row>
    <row r="259" spans="1:5" x14ac:dyDescent="0.2">
      <c r="A259" s="9" t="str">
        <f>Orçamento!A220</f>
        <v>7.83</v>
      </c>
      <c r="B259" s="133" t="s">
        <v>807</v>
      </c>
      <c r="C259" s="26" t="s">
        <v>2</v>
      </c>
      <c r="D259" s="142">
        <v>1</v>
      </c>
      <c r="E259" s="175"/>
    </row>
    <row r="260" spans="1:5" x14ac:dyDescent="0.2">
      <c r="A260" s="9" t="str">
        <f>Orçamento!A221</f>
        <v>7.84</v>
      </c>
      <c r="B260" s="133" t="s">
        <v>808</v>
      </c>
      <c r="C260" s="26" t="s">
        <v>2</v>
      </c>
      <c r="D260" s="142">
        <v>2</v>
      </c>
      <c r="E260" s="175"/>
    </row>
    <row r="261" spans="1:5" x14ac:dyDescent="0.2">
      <c r="A261" s="9" t="str">
        <f>Orçamento!A222</f>
        <v>7.85</v>
      </c>
      <c r="B261" s="133" t="s">
        <v>809</v>
      </c>
      <c r="C261" s="26" t="s">
        <v>2</v>
      </c>
      <c r="D261" s="142">
        <v>2</v>
      </c>
      <c r="E261" s="175"/>
    </row>
    <row r="262" spans="1:5" x14ac:dyDescent="0.2">
      <c r="A262" s="4" t="str">
        <f>Orçamento!A223</f>
        <v>7.86</v>
      </c>
      <c r="B262" s="136" t="s">
        <v>124</v>
      </c>
      <c r="C262" s="28"/>
      <c r="D262" s="35"/>
      <c r="E262" s="175"/>
    </row>
    <row r="263" spans="1:5" x14ac:dyDescent="0.2">
      <c r="A263" s="9" t="str">
        <f>Orçamento!A224</f>
        <v>7.87</v>
      </c>
      <c r="B263" s="133" t="s">
        <v>822</v>
      </c>
      <c r="C263" s="26" t="s">
        <v>2</v>
      </c>
      <c r="D263" s="142">
        <v>2</v>
      </c>
      <c r="E263" s="175"/>
    </row>
    <row r="264" spans="1:5" x14ac:dyDescent="0.2">
      <c r="A264" s="9" t="str">
        <f>Orçamento!A225</f>
        <v>7.88</v>
      </c>
      <c r="B264" s="133" t="s">
        <v>823</v>
      </c>
      <c r="C264" s="26" t="s">
        <v>2</v>
      </c>
      <c r="D264" s="142">
        <v>7</v>
      </c>
      <c r="E264" s="175"/>
    </row>
    <row r="265" spans="1:5" x14ac:dyDescent="0.2">
      <c r="A265" s="9" t="str">
        <f>Orçamento!A226</f>
        <v>7.89</v>
      </c>
      <c r="B265" s="133" t="s">
        <v>828</v>
      </c>
      <c r="C265" s="26" t="s">
        <v>2</v>
      </c>
      <c r="D265" s="142">
        <v>2</v>
      </c>
      <c r="E265" s="175"/>
    </row>
    <row r="266" spans="1:5" x14ac:dyDescent="0.2">
      <c r="A266" s="9" t="str">
        <f>Orçamento!A227</f>
        <v>7.90</v>
      </c>
      <c r="B266" s="133" t="s">
        <v>172</v>
      </c>
      <c r="C266" s="26" t="s">
        <v>2</v>
      </c>
      <c r="D266" s="142">
        <v>5</v>
      </c>
      <c r="E266" s="175"/>
    </row>
    <row r="267" spans="1:5" x14ac:dyDescent="0.2">
      <c r="A267" s="9" t="str">
        <f>Orçamento!A228</f>
        <v>7.91</v>
      </c>
      <c r="B267" s="133" t="s">
        <v>824</v>
      </c>
      <c r="C267" s="26" t="s">
        <v>2</v>
      </c>
      <c r="D267" s="142">
        <v>4</v>
      </c>
      <c r="E267" s="175"/>
    </row>
    <row r="268" spans="1:5" x14ac:dyDescent="0.2">
      <c r="A268" s="4" t="str">
        <f>Orçamento!A229</f>
        <v>7.92</v>
      </c>
      <c r="B268" s="263" t="s">
        <v>831</v>
      </c>
      <c r="C268" s="264"/>
      <c r="D268" s="264"/>
      <c r="E268" s="280"/>
    </row>
    <row r="269" spans="1:5" x14ac:dyDescent="0.2">
      <c r="A269" s="9" t="str">
        <f>Orçamento!A230</f>
        <v>7.93</v>
      </c>
      <c r="B269" s="133" t="s">
        <v>829</v>
      </c>
      <c r="C269" s="26" t="s">
        <v>2</v>
      </c>
      <c r="D269" s="142">
        <v>2</v>
      </c>
      <c r="E269" s="175"/>
    </row>
    <row r="270" spans="1:5" x14ac:dyDescent="0.2">
      <c r="A270" s="9" t="str">
        <f>Orçamento!A231</f>
        <v>7.94</v>
      </c>
      <c r="B270" s="133" t="s">
        <v>830</v>
      </c>
      <c r="C270" s="26" t="s">
        <v>2</v>
      </c>
      <c r="D270" s="142">
        <v>1</v>
      </c>
      <c r="E270" s="175"/>
    </row>
    <row r="271" spans="1:5" x14ac:dyDescent="0.2">
      <c r="A271" s="9" t="str">
        <f>Orçamento!A232</f>
        <v>7.95</v>
      </c>
      <c r="B271" s="133" t="s">
        <v>825</v>
      </c>
      <c r="C271" s="26" t="s">
        <v>2</v>
      </c>
      <c r="D271" s="142">
        <v>4</v>
      </c>
      <c r="E271" s="175"/>
    </row>
    <row r="272" spans="1:5" x14ac:dyDescent="0.2">
      <c r="A272" s="9" t="str">
        <f>Orçamento!A233</f>
        <v>7.96</v>
      </c>
      <c r="B272" s="133" t="s">
        <v>826</v>
      </c>
      <c r="C272" s="26" t="s">
        <v>2</v>
      </c>
      <c r="D272" s="142">
        <v>2</v>
      </c>
      <c r="E272" s="175"/>
    </row>
    <row r="273" spans="1:5" x14ac:dyDescent="0.2">
      <c r="A273" s="4" t="str">
        <f>Orçamento!A234</f>
        <v>7.97</v>
      </c>
      <c r="B273" s="227" t="s">
        <v>140</v>
      </c>
      <c r="C273" s="228"/>
      <c r="D273" s="228"/>
      <c r="E273" s="317"/>
    </row>
    <row r="274" spans="1:5" x14ac:dyDescent="0.2">
      <c r="A274" s="9" t="str">
        <f>Orçamento!A235</f>
        <v>7.98</v>
      </c>
      <c r="B274" s="15" t="s">
        <v>141</v>
      </c>
      <c r="C274" s="26" t="s">
        <v>2</v>
      </c>
      <c r="D274" s="142">
        <v>9</v>
      </c>
      <c r="E274" s="175"/>
    </row>
    <row r="275" spans="1:5" x14ac:dyDescent="0.2">
      <c r="A275" s="9" t="str">
        <f>Orçamento!A236</f>
        <v>7.99</v>
      </c>
      <c r="B275" s="133" t="s">
        <v>832</v>
      </c>
      <c r="C275" s="26" t="s">
        <v>2</v>
      </c>
      <c r="D275" s="142">
        <v>2</v>
      </c>
      <c r="E275" s="175"/>
    </row>
    <row r="276" spans="1:5" x14ac:dyDescent="0.2">
      <c r="A276" s="9" t="str">
        <f>Orçamento!A237</f>
        <v>7.100</v>
      </c>
      <c r="B276" s="133" t="s">
        <v>833</v>
      </c>
      <c r="C276" s="26" t="s">
        <v>2</v>
      </c>
      <c r="D276" s="142">
        <v>1</v>
      </c>
      <c r="E276" s="175"/>
    </row>
    <row r="277" spans="1:5" x14ac:dyDescent="0.2">
      <c r="A277" s="4" t="str">
        <f>Orçamento!A238</f>
        <v>7.101</v>
      </c>
      <c r="B277" s="224" t="s">
        <v>153</v>
      </c>
      <c r="C277" s="225"/>
      <c r="D277" s="225"/>
      <c r="E277" s="315"/>
    </row>
    <row r="278" spans="1:5" ht="42" customHeight="1" x14ac:dyDescent="0.2">
      <c r="A278" s="9" t="str">
        <f>Orçamento!A239</f>
        <v>7.102</v>
      </c>
      <c r="B278" s="15" t="s">
        <v>154</v>
      </c>
      <c r="C278" s="26" t="s">
        <v>33</v>
      </c>
      <c r="D278" s="142">
        <v>70.319999999999993</v>
      </c>
      <c r="E278" s="140" t="s">
        <v>858</v>
      </c>
    </row>
    <row r="279" spans="1:5" x14ac:dyDescent="0.2">
      <c r="A279" s="9" t="str">
        <f>Orçamento!A240</f>
        <v>7.103</v>
      </c>
      <c r="B279" s="7" t="s">
        <v>852</v>
      </c>
      <c r="C279" s="26" t="s">
        <v>33</v>
      </c>
      <c r="D279" s="142">
        <v>2.63</v>
      </c>
      <c r="E279" s="141" t="s">
        <v>859</v>
      </c>
    </row>
    <row r="280" spans="1:5" ht="14.25" customHeight="1" x14ac:dyDescent="0.2">
      <c r="A280" s="9" t="str">
        <f>Orçamento!A241</f>
        <v>7.104</v>
      </c>
      <c r="B280" s="15" t="s">
        <v>155</v>
      </c>
      <c r="C280" s="26" t="s">
        <v>33</v>
      </c>
      <c r="D280" s="142">
        <f>55.08+4*(3.2)+4.1+2*(3.4)</f>
        <v>78.779999999999987</v>
      </c>
      <c r="E280" s="141" t="s">
        <v>860</v>
      </c>
    </row>
    <row r="281" spans="1:5" ht="25.5" x14ac:dyDescent="0.2">
      <c r="A281" s="9" t="str">
        <f>Orçamento!A242</f>
        <v>7.105</v>
      </c>
      <c r="B281" s="15" t="s">
        <v>156</v>
      </c>
      <c r="C281" s="26" t="s">
        <v>33</v>
      </c>
      <c r="D281" s="142">
        <v>81.39</v>
      </c>
      <c r="E281" s="140" t="s">
        <v>861</v>
      </c>
    </row>
    <row r="282" spans="1:5" x14ac:dyDescent="0.2">
      <c r="A282" s="178">
        <v>7106</v>
      </c>
      <c r="B282" s="227" t="s">
        <v>1037</v>
      </c>
      <c r="C282" s="228"/>
      <c r="D282" s="228"/>
      <c r="E282" s="317"/>
    </row>
    <row r="283" spans="1:5" ht="25.5" x14ac:dyDescent="0.2">
      <c r="A283" s="177">
        <v>7107</v>
      </c>
      <c r="B283" s="133" t="s">
        <v>1038</v>
      </c>
      <c r="C283" s="26" t="s">
        <v>2</v>
      </c>
      <c r="D283" s="142">
        <v>3</v>
      </c>
      <c r="E283" s="140"/>
    </row>
    <row r="284" spans="1:5" x14ac:dyDescent="0.2">
      <c r="A284" s="318"/>
      <c r="B284" s="319"/>
      <c r="C284" s="319"/>
      <c r="D284" s="319"/>
      <c r="E284" s="320"/>
    </row>
    <row r="285" spans="1:5" x14ac:dyDescent="0.2">
      <c r="A285" s="311" t="s">
        <v>60</v>
      </c>
      <c r="B285" s="312"/>
      <c r="C285" s="312"/>
      <c r="D285" s="312"/>
      <c r="E285" s="313"/>
    </row>
    <row r="286" spans="1:5" x14ac:dyDescent="0.2">
      <c r="A286" s="4" t="s">
        <v>983</v>
      </c>
      <c r="B286" s="230" t="s">
        <v>59</v>
      </c>
      <c r="C286" s="231"/>
      <c r="D286" s="231"/>
      <c r="E286" s="232"/>
    </row>
    <row r="287" spans="1:5" ht="25.5" x14ac:dyDescent="0.2">
      <c r="A287" s="10" t="s">
        <v>223</v>
      </c>
      <c r="B287" s="55" t="str">
        <f>Orçamento!C248</f>
        <v>ALVENARIA DE TIJOLO FURADO 1/2 VEZ 14X29X9 - 6 FUROS - ARG. (1CALH:4ARML+100KG DE CI/M3)</v>
      </c>
      <c r="C287" s="6" t="s">
        <v>34</v>
      </c>
      <c r="D287" s="88">
        <f>D288+D292+D296+D300</f>
        <v>774.63852400000019</v>
      </c>
      <c r="E287" s="59"/>
    </row>
    <row r="288" spans="1:5" x14ac:dyDescent="0.2">
      <c r="A288" s="290" t="s">
        <v>984</v>
      </c>
      <c r="B288" s="127" t="s">
        <v>413</v>
      </c>
      <c r="C288" s="6" t="s">
        <v>34</v>
      </c>
      <c r="D288" s="88">
        <f>D289-D290-D291</f>
        <v>443.32802400000003</v>
      </c>
      <c r="E288" s="59"/>
    </row>
    <row r="289" spans="1:5" ht="76.5" x14ac:dyDescent="0.2">
      <c r="A289" s="291"/>
      <c r="B289" s="15" t="s">
        <v>552</v>
      </c>
      <c r="C289" s="6" t="s">
        <v>34</v>
      </c>
      <c r="D289" s="58">
        <f>(7.85+14.17+17.1+10.07+5.3+2.54+5.15+1.8+2.15)*3+(4.1+1.9+0.15+4.1+1.9+0.15+4.1+2.54+0.15+4.1+1.2+0.15+4.1+3.08+0.15+1.5+1.5+4.1+4.1+2.54+0.15+0.15+4.1+4.1+3.08+3.08+0.15+0.15+0.15+0.15+(1.5+0.15+1)*2+1.8+0.15+3.08+3.15+3+2.54+2.54+0.15+3.8+3.8+3.8+2.5+1.5+1.43+1.2)*3+(0.9+0.9)*1.9+(1.9*2.73)</f>
        <v>508.82700000000006</v>
      </c>
      <c r="E289" s="59" t="s">
        <v>1111</v>
      </c>
    </row>
    <row r="290" spans="1:5" ht="25.5" x14ac:dyDescent="0.2">
      <c r="A290" s="291"/>
      <c r="B290" s="55" t="s">
        <v>416</v>
      </c>
      <c r="C290" s="6" t="s">
        <v>34</v>
      </c>
      <c r="D290" s="58">
        <f>9*(1.2+1)+3*(0.8*1.8)*3*(0.4*0.4)*1*(1.2*1.8)+1*(1*1)</f>
        <v>25.278976</v>
      </c>
      <c r="E290" s="59" t="s">
        <v>417</v>
      </c>
    </row>
    <row r="291" spans="1:5" ht="38.25" x14ac:dyDescent="0.2">
      <c r="A291" s="292"/>
      <c r="B291" s="55" t="s">
        <v>415</v>
      </c>
      <c r="C291" s="6" t="s">
        <v>34</v>
      </c>
      <c r="D291" s="58">
        <f>1*(1.2*2.1)+1*(0.7*2.1)+6*(0.8*2.1)+7*(0.9*2.1)+1*(1.1*2.1)+2*(0.9*2.1)+1*(0.4*0.8)+1*(1.3*2.1+2*(0.9*2.1))</f>
        <v>40.220000000000006</v>
      </c>
      <c r="E291" s="59" t="s">
        <v>576</v>
      </c>
    </row>
    <row r="292" spans="1:5" x14ac:dyDescent="0.2">
      <c r="A292" s="290" t="s">
        <v>985</v>
      </c>
      <c r="B292" s="127" t="s">
        <v>418</v>
      </c>
      <c r="C292" s="6" t="s">
        <v>34</v>
      </c>
      <c r="D292" s="88">
        <f>D293-D294-D295</f>
        <v>186.11250000000001</v>
      </c>
      <c r="E292" s="59"/>
    </row>
    <row r="293" spans="1:5" x14ac:dyDescent="0.2">
      <c r="A293" s="291"/>
      <c r="B293" s="55" t="s">
        <v>552</v>
      </c>
      <c r="C293" s="6" t="s">
        <v>34</v>
      </c>
      <c r="D293" s="58">
        <f>(1.8+1.8+1.2)*10*2.7+3.425*11*1.5</f>
        <v>186.11250000000001</v>
      </c>
      <c r="E293" s="59" t="s">
        <v>549</v>
      </c>
    </row>
    <row r="294" spans="1:5" x14ac:dyDescent="0.2">
      <c r="A294" s="291"/>
      <c r="B294" s="55" t="s">
        <v>416</v>
      </c>
      <c r="C294" s="6" t="s">
        <v>34</v>
      </c>
      <c r="D294" s="58">
        <v>0</v>
      </c>
      <c r="E294" s="59">
        <v>0</v>
      </c>
    </row>
    <row r="295" spans="1:5" x14ac:dyDescent="0.2">
      <c r="A295" s="291"/>
      <c r="B295" s="55" t="s">
        <v>415</v>
      </c>
      <c r="C295" s="6" t="s">
        <v>34</v>
      </c>
      <c r="D295" s="58">
        <v>0</v>
      </c>
      <c r="E295" s="59">
        <v>0</v>
      </c>
    </row>
    <row r="296" spans="1:5" x14ac:dyDescent="0.2">
      <c r="A296" s="290" t="s">
        <v>986</v>
      </c>
      <c r="B296" s="127" t="s">
        <v>419</v>
      </c>
      <c r="C296" s="6" t="s">
        <v>34</v>
      </c>
      <c r="D296" s="88">
        <f>D297-D298-D299</f>
        <v>39.521999999999998</v>
      </c>
      <c r="E296" s="59"/>
    </row>
    <row r="297" spans="1:5" x14ac:dyDescent="0.2">
      <c r="A297" s="291"/>
      <c r="B297" s="55" t="s">
        <v>552</v>
      </c>
      <c r="C297" s="6" t="s">
        <v>34</v>
      </c>
      <c r="D297" s="58">
        <f>(7.075+2.625+0.15+0.015+2.75+1.5)*2.8</f>
        <v>39.521999999999998</v>
      </c>
      <c r="E297" s="59" t="s">
        <v>550</v>
      </c>
    </row>
    <row r="298" spans="1:5" x14ac:dyDescent="0.2">
      <c r="A298" s="291"/>
      <c r="B298" s="55" t="s">
        <v>416</v>
      </c>
      <c r="C298" s="6" t="s">
        <v>34</v>
      </c>
      <c r="D298" s="58">
        <v>0</v>
      </c>
      <c r="E298" s="59">
        <v>0</v>
      </c>
    </row>
    <row r="299" spans="1:5" x14ac:dyDescent="0.2">
      <c r="A299" s="292"/>
      <c r="B299" s="55" t="s">
        <v>415</v>
      </c>
      <c r="C299" s="6" t="s">
        <v>34</v>
      </c>
      <c r="D299" s="58">
        <v>0</v>
      </c>
      <c r="E299" s="59">
        <v>0</v>
      </c>
    </row>
    <row r="300" spans="1:5" ht="51" x14ac:dyDescent="0.2">
      <c r="A300" s="10" t="s">
        <v>224</v>
      </c>
      <c r="B300" s="127" t="s">
        <v>571</v>
      </c>
      <c r="C300" s="6" t="s">
        <v>34</v>
      </c>
      <c r="D300" s="88">
        <f>(0.15+18.2+0.15+15.27+0.15+8.25+0.15+2.19+0.15+2.4+0.15+4.6+1+2.84+0.15+6.1+0.15+11.17)*1+(0.15+1.8+0.15+3.08+3.08)*1.6+(1.8+0.15+0.15+1.6+0.15+1.8+0.15+1.6)*2.6</f>
        <v>105.67599999999999</v>
      </c>
      <c r="E300" s="59" t="s">
        <v>575</v>
      </c>
    </row>
    <row r="301" spans="1:5" x14ac:dyDescent="0.2">
      <c r="A301" s="290" t="s">
        <v>225</v>
      </c>
      <c r="B301" s="127" t="str">
        <f>Orçamento!C249</f>
        <v xml:space="preserve"> DIVISORIA DE GRANITO POLIDO</v>
      </c>
      <c r="C301" s="6" t="s">
        <v>34</v>
      </c>
      <c r="D301" s="88">
        <f>D302-D303</f>
        <v>4.9400000000000013</v>
      </c>
      <c r="E301" s="59"/>
    </row>
    <row r="302" spans="1:5" x14ac:dyDescent="0.2">
      <c r="A302" s="291"/>
      <c r="B302" s="55" t="s">
        <v>414</v>
      </c>
      <c r="C302" s="6" t="s">
        <v>34</v>
      </c>
      <c r="D302" s="58">
        <f>(1.9+1.9+0.9+0.9)*2.1</f>
        <v>11.760000000000002</v>
      </c>
      <c r="E302" s="59" t="s">
        <v>517</v>
      </c>
    </row>
    <row r="303" spans="1:5" x14ac:dyDescent="0.2">
      <c r="A303" s="292"/>
      <c r="B303" s="55" t="s">
        <v>415</v>
      </c>
      <c r="C303" s="6" t="s">
        <v>34</v>
      </c>
      <c r="D303" s="58">
        <f>2*(0.8*1.9)+2*(0.9*2.1)</f>
        <v>6.82</v>
      </c>
      <c r="E303" s="59" t="s">
        <v>516</v>
      </c>
    </row>
    <row r="304" spans="1:5" x14ac:dyDescent="0.2">
      <c r="A304" s="318"/>
      <c r="B304" s="319"/>
      <c r="C304" s="319"/>
      <c r="D304" s="319"/>
      <c r="E304" s="320"/>
    </row>
    <row r="305" spans="1:5" x14ac:dyDescent="0.2">
      <c r="A305" s="311" t="s">
        <v>61</v>
      </c>
      <c r="B305" s="312"/>
      <c r="C305" s="312"/>
      <c r="D305" s="312"/>
      <c r="E305" s="313"/>
    </row>
    <row r="306" spans="1:5" x14ac:dyDescent="0.2">
      <c r="A306" s="4">
        <v>9</v>
      </c>
      <c r="B306" s="120" t="s">
        <v>62</v>
      </c>
      <c r="C306" s="5"/>
      <c r="D306" s="78"/>
      <c r="E306" s="64"/>
    </row>
    <row r="307" spans="1:5" ht="25.5" x14ac:dyDescent="0.2">
      <c r="A307" s="10" t="s">
        <v>178</v>
      </c>
      <c r="B307" s="55" t="str">
        <f>Orçamento!C253</f>
        <v xml:space="preserve">IMPERMEABILIZAÇÃO-REBAIXO BANHEIRO COM 4 DEMÃOS DE EMULSÃO ASFÁLTICA </v>
      </c>
      <c r="C307" s="6" t="s">
        <v>34</v>
      </c>
      <c r="D307" s="88">
        <f>SUM(D309+D310+D312+D313+D315+D316+D318+D319+D321+D322+D324+D325+D327+D328+D330+D331+D333+D334+D336+D337+D339+D340+D342)</f>
        <v>108.08850000000001</v>
      </c>
      <c r="E307" s="62"/>
    </row>
    <row r="308" spans="1:5" x14ac:dyDescent="0.2">
      <c r="A308" s="290" t="s">
        <v>755</v>
      </c>
      <c r="B308" s="308" t="s">
        <v>588</v>
      </c>
      <c r="C308" s="309"/>
      <c r="D308" s="309"/>
      <c r="E308" s="310"/>
    </row>
    <row r="309" spans="1:5" x14ac:dyDescent="0.2">
      <c r="A309" s="291"/>
      <c r="B309" s="55" t="s">
        <v>589</v>
      </c>
      <c r="C309" s="6" t="s">
        <v>34</v>
      </c>
      <c r="D309" s="58">
        <v>7.79</v>
      </c>
      <c r="E309" s="62" t="s">
        <v>293</v>
      </c>
    </row>
    <row r="310" spans="1:5" x14ac:dyDescent="0.2">
      <c r="A310" s="292"/>
      <c r="B310" s="55" t="s">
        <v>590</v>
      </c>
      <c r="C310" s="6" t="s">
        <v>34</v>
      </c>
      <c r="D310" s="58">
        <f>0.2*(4.1+1.9+4.1+1)</f>
        <v>2.2200000000000002</v>
      </c>
      <c r="E310" s="62" t="s">
        <v>594</v>
      </c>
    </row>
    <row r="311" spans="1:5" x14ac:dyDescent="0.2">
      <c r="A311" s="290" t="s">
        <v>757</v>
      </c>
      <c r="B311" s="308" t="s">
        <v>591</v>
      </c>
      <c r="C311" s="309"/>
      <c r="D311" s="309"/>
      <c r="E311" s="310"/>
    </row>
    <row r="312" spans="1:5" x14ac:dyDescent="0.2">
      <c r="A312" s="291"/>
      <c r="B312" s="55" t="s">
        <v>589</v>
      </c>
      <c r="C312" s="6" t="s">
        <v>34</v>
      </c>
      <c r="D312" s="58">
        <v>7.79</v>
      </c>
      <c r="E312" s="62" t="s">
        <v>293</v>
      </c>
    </row>
    <row r="313" spans="1:5" x14ac:dyDescent="0.2">
      <c r="A313" s="292"/>
      <c r="B313" s="55" t="s">
        <v>590</v>
      </c>
      <c r="C313" s="6" t="s">
        <v>34</v>
      </c>
      <c r="D313" s="58">
        <f>0.2*(4.1+1.9+4.1+1)</f>
        <v>2.2200000000000002</v>
      </c>
      <c r="E313" s="62" t="s">
        <v>594</v>
      </c>
    </row>
    <row r="314" spans="1:5" x14ac:dyDescent="0.2">
      <c r="A314" s="290" t="s">
        <v>759</v>
      </c>
      <c r="B314" s="308" t="s">
        <v>464</v>
      </c>
      <c r="C314" s="309"/>
      <c r="D314" s="309"/>
      <c r="E314" s="310"/>
    </row>
    <row r="315" spans="1:5" x14ac:dyDescent="0.2">
      <c r="A315" s="291"/>
      <c r="B315" s="55" t="s">
        <v>589</v>
      </c>
      <c r="C315" s="6" t="s">
        <v>34</v>
      </c>
      <c r="D315" s="58">
        <v>12.63</v>
      </c>
      <c r="E315" s="62" t="s">
        <v>293</v>
      </c>
    </row>
    <row r="316" spans="1:5" x14ac:dyDescent="0.2">
      <c r="A316" s="292"/>
      <c r="B316" s="55" t="s">
        <v>590</v>
      </c>
      <c r="C316" s="6" t="s">
        <v>34</v>
      </c>
      <c r="D316" s="58">
        <f>0.2*(4.1+3.08+4.1+2.18)</f>
        <v>2.6920000000000002</v>
      </c>
      <c r="E316" s="62" t="s">
        <v>595</v>
      </c>
    </row>
    <row r="317" spans="1:5" x14ac:dyDescent="0.2">
      <c r="A317" s="290" t="s">
        <v>987</v>
      </c>
      <c r="B317" s="308" t="s">
        <v>468</v>
      </c>
      <c r="C317" s="309"/>
      <c r="D317" s="309"/>
      <c r="E317" s="310"/>
    </row>
    <row r="318" spans="1:5" x14ac:dyDescent="0.2">
      <c r="A318" s="291"/>
      <c r="B318" s="55" t="s">
        <v>589</v>
      </c>
      <c r="C318" s="6" t="s">
        <v>34</v>
      </c>
      <c r="D318" s="58">
        <v>12.63</v>
      </c>
      <c r="E318" s="62" t="s">
        <v>293</v>
      </c>
    </row>
    <row r="319" spans="1:5" x14ac:dyDescent="0.2">
      <c r="A319" s="292"/>
      <c r="B319" s="55" t="s">
        <v>590</v>
      </c>
      <c r="C319" s="6" t="s">
        <v>34</v>
      </c>
      <c r="D319" s="58">
        <f>0.2*(4.1+3.08+4.1+2.18)</f>
        <v>2.6920000000000002</v>
      </c>
      <c r="E319" s="62" t="s">
        <v>595</v>
      </c>
    </row>
    <row r="320" spans="1:5" x14ac:dyDescent="0.2">
      <c r="A320" s="290" t="s">
        <v>758</v>
      </c>
      <c r="B320" s="308" t="s">
        <v>489</v>
      </c>
      <c r="C320" s="309"/>
      <c r="D320" s="309"/>
      <c r="E320" s="310"/>
    </row>
    <row r="321" spans="1:5" x14ac:dyDescent="0.2">
      <c r="A321" s="291"/>
      <c r="B321" s="55" t="s">
        <v>589</v>
      </c>
      <c r="C321" s="6" t="s">
        <v>34</v>
      </c>
      <c r="D321" s="58">
        <v>5.38</v>
      </c>
      <c r="E321" s="62" t="s">
        <v>293</v>
      </c>
    </row>
    <row r="322" spans="1:5" x14ac:dyDescent="0.2">
      <c r="A322" s="292"/>
      <c r="B322" s="55" t="s">
        <v>590</v>
      </c>
      <c r="C322" s="6" t="s">
        <v>34</v>
      </c>
      <c r="D322" s="58">
        <f>0.2*(1.85+2.54)+1*2.54</f>
        <v>3.4180000000000001</v>
      </c>
      <c r="E322" s="62" t="s">
        <v>596</v>
      </c>
    </row>
    <row r="323" spans="1:5" x14ac:dyDescent="0.2">
      <c r="A323" s="290" t="s">
        <v>756</v>
      </c>
      <c r="B323" s="308" t="s">
        <v>592</v>
      </c>
      <c r="C323" s="309"/>
      <c r="D323" s="309"/>
      <c r="E323" s="310"/>
    </row>
    <row r="324" spans="1:5" x14ac:dyDescent="0.2">
      <c r="A324" s="291"/>
      <c r="B324" s="55" t="s">
        <v>589</v>
      </c>
      <c r="C324" s="6" t="s">
        <v>34</v>
      </c>
      <c r="D324" s="58">
        <v>9.4</v>
      </c>
      <c r="E324" s="62" t="s">
        <v>293</v>
      </c>
    </row>
    <row r="325" spans="1:5" x14ac:dyDescent="0.2">
      <c r="A325" s="292"/>
      <c r="B325" s="55" t="s">
        <v>590</v>
      </c>
      <c r="C325" s="6" t="s">
        <v>34</v>
      </c>
      <c r="D325" s="58">
        <f>0.2*(3.8+2.5+2.65+1.5)</f>
        <v>2.09</v>
      </c>
      <c r="E325" s="62" t="s">
        <v>597</v>
      </c>
    </row>
    <row r="326" spans="1:5" x14ac:dyDescent="0.2">
      <c r="A326" s="290" t="s">
        <v>988</v>
      </c>
      <c r="B326" s="308" t="s">
        <v>593</v>
      </c>
      <c r="C326" s="309"/>
      <c r="D326" s="309"/>
      <c r="E326" s="310"/>
    </row>
    <row r="327" spans="1:5" x14ac:dyDescent="0.2">
      <c r="A327" s="291"/>
      <c r="B327" s="55" t="s">
        <v>589</v>
      </c>
      <c r="C327" s="6" t="s">
        <v>34</v>
      </c>
      <c r="D327" s="58">
        <v>5.05</v>
      </c>
      <c r="E327" s="62" t="s">
        <v>293</v>
      </c>
    </row>
    <row r="328" spans="1:5" x14ac:dyDescent="0.2">
      <c r="A328" s="292"/>
      <c r="B328" s="55" t="s">
        <v>590</v>
      </c>
      <c r="C328" s="6" t="s">
        <v>34</v>
      </c>
      <c r="D328" s="58">
        <f>0.2*(2.01*2.5*4.1)</f>
        <v>4.1204999999999989</v>
      </c>
      <c r="E328" s="62" t="s">
        <v>598</v>
      </c>
    </row>
    <row r="329" spans="1:5" x14ac:dyDescent="0.2">
      <c r="A329" s="290" t="s">
        <v>989</v>
      </c>
      <c r="B329" s="308" t="s">
        <v>470</v>
      </c>
      <c r="C329" s="309"/>
      <c r="D329" s="309"/>
      <c r="E329" s="310"/>
    </row>
    <row r="330" spans="1:5" x14ac:dyDescent="0.2">
      <c r="A330" s="291"/>
      <c r="B330" s="55" t="s">
        <v>589</v>
      </c>
      <c r="C330" s="6" t="s">
        <v>34</v>
      </c>
      <c r="D330" s="58">
        <v>5.05</v>
      </c>
      <c r="E330" s="62" t="s">
        <v>293</v>
      </c>
    </row>
    <row r="331" spans="1:5" x14ac:dyDescent="0.2">
      <c r="A331" s="292"/>
      <c r="B331" s="55" t="s">
        <v>590</v>
      </c>
      <c r="C331" s="6" t="s">
        <v>34</v>
      </c>
      <c r="D331" s="58">
        <f>0.2*(2.01+1.45)</f>
        <v>0.69200000000000006</v>
      </c>
      <c r="E331" s="62" t="s">
        <v>599</v>
      </c>
    </row>
    <row r="332" spans="1:5" x14ac:dyDescent="0.2">
      <c r="A332" s="290" t="s">
        <v>990</v>
      </c>
      <c r="B332" s="308" t="s">
        <v>579</v>
      </c>
      <c r="C332" s="309"/>
      <c r="D332" s="309"/>
      <c r="E332" s="310"/>
    </row>
    <row r="333" spans="1:5" x14ac:dyDescent="0.2">
      <c r="A333" s="291"/>
      <c r="B333" s="55" t="s">
        <v>589</v>
      </c>
      <c r="C333" s="6" t="s">
        <v>34</v>
      </c>
      <c r="D333" s="58">
        <v>5.22</v>
      </c>
      <c r="E333" s="62" t="s">
        <v>293</v>
      </c>
    </row>
    <row r="334" spans="1:5" x14ac:dyDescent="0.2">
      <c r="A334" s="292"/>
      <c r="B334" s="55" t="s">
        <v>590</v>
      </c>
      <c r="C334" s="6" t="s">
        <v>34</v>
      </c>
      <c r="D334" s="58">
        <f>0.2*(2.94+2.94+0.63)+1*(0.7+0.7+1.43)</f>
        <v>4.1319999999999997</v>
      </c>
      <c r="E334" s="62" t="s">
        <v>600</v>
      </c>
    </row>
    <row r="335" spans="1:5" x14ac:dyDescent="0.2">
      <c r="A335" s="290" t="s">
        <v>991</v>
      </c>
      <c r="B335" s="308" t="s">
        <v>547</v>
      </c>
      <c r="C335" s="309"/>
      <c r="D335" s="309"/>
      <c r="E335" s="310"/>
    </row>
    <row r="336" spans="1:5" x14ac:dyDescent="0.2">
      <c r="A336" s="291"/>
      <c r="B336" s="55" t="s">
        <v>589</v>
      </c>
      <c r="C336" s="6" t="s">
        <v>34</v>
      </c>
      <c r="D336" s="58">
        <v>3.68</v>
      </c>
      <c r="E336" s="62" t="s">
        <v>293</v>
      </c>
    </row>
    <row r="337" spans="1:5" x14ac:dyDescent="0.2">
      <c r="A337" s="292"/>
      <c r="B337" s="55" t="s">
        <v>590</v>
      </c>
      <c r="C337" s="6" t="s">
        <v>34</v>
      </c>
      <c r="D337" s="58">
        <f>0.2*(1.5+2.45+1.5)+1*1.5</f>
        <v>2.59</v>
      </c>
      <c r="E337" s="62" t="s">
        <v>601</v>
      </c>
    </row>
    <row r="338" spans="1:5" x14ac:dyDescent="0.2">
      <c r="A338" s="290" t="s">
        <v>992</v>
      </c>
      <c r="B338" s="308" t="s">
        <v>469</v>
      </c>
      <c r="C338" s="309"/>
      <c r="D338" s="309"/>
      <c r="E338" s="310"/>
    </row>
    <row r="339" spans="1:5" x14ac:dyDescent="0.2">
      <c r="A339" s="291"/>
      <c r="B339" s="55" t="s">
        <v>589</v>
      </c>
      <c r="C339" s="6" t="s">
        <v>34</v>
      </c>
      <c r="D339" s="58">
        <v>4.25</v>
      </c>
      <c r="E339" s="62" t="s">
        <v>293</v>
      </c>
    </row>
    <row r="340" spans="1:5" x14ac:dyDescent="0.2">
      <c r="A340" s="292"/>
      <c r="B340" s="55" t="s">
        <v>590</v>
      </c>
      <c r="C340" s="6" t="s">
        <v>34</v>
      </c>
      <c r="D340" s="58">
        <f>0.2*2</f>
        <v>0.4</v>
      </c>
      <c r="E340" s="62" t="s">
        <v>602</v>
      </c>
    </row>
    <row r="341" spans="1:5" x14ac:dyDescent="0.2">
      <c r="A341" s="290" t="s">
        <v>993</v>
      </c>
      <c r="B341" s="308" t="s">
        <v>472</v>
      </c>
      <c r="C341" s="309"/>
      <c r="D341" s="309"/>
      <c r="E341" s="310"/>
    </row>
    <row r="342" spans="1:5" x14ac:dyDescent="0.2">
      <c r="A342" s="292"/>
      <c r="B342" s="55" t="s">
        <v>590</v>
      </c>
      <c r="C342" s="6" t="s">
        <v>34</v>
      </c>
      <c r="D342" s="58">
        <f>0.2*(3.08+1.8+3.08+1.8)</f>
        <v>1.952</v>
      </c>
      <c r="E342" s="62" t="s">
        <v>603</v>
      </c>
    </row>
    <row r="343" spans="1:5" x14ac:dyDescent="0.2">
      <c r="A343" s="126"/>
      <c r="B343" s="55"/>
      <c r="C343" s="6"/>
      <c r="D343" s="58"/>
      <c r="E343" s="62"/>
    </row>
    <row r="344" spans="1:5" x14ac:dyDescent="0.2">
      <c r="A344" s="311" t="s">
        <v>941</v>
      </c>
      <c r="B344" s="312"/>
      <c r="C344" s="312"/>
      <c r="D344" s="312"/>
      <c r="E344" s="313"/>
    </row>
    <row r="345" spans="1:5" x14ac:dyDescent="0.2">
      <c r="A345" s="167">
        <v>10</v>
      </c>
      <c r="B345" s="127" t="s">
        <v>942</v>
      </c>
      <c r="C345" s="6"/>
      <c r="D345" s="58"/>
      <c r="E345" s="62"/>
    </row>
    <row r="346" spans="1:5" ht="25.5" x14ac:dyDescent="0.2">
      <c r="A346" s="126" t="s">
        <v>181</v>
      </c>
      <c r="B346" s="51" t="s">
        <v>574</v>
      </c>
      <c r="C346" s="6" t="s">
        <v>34</v>
      </c>
      <c r="D346" s="88">
        <f>SUM(D347:D349)</f>
        <v>287.74</v>
      </c>
      <c r="E346" s="62" t="s">
        <v>946</v>
      </c>
    </row>
    <row r="347" spans="1:5" x14ac:dyDescent="0.2">
      <c r="A347" s="126" t="s">
        <v>994</v>
      </c>
      <c r="B347" s="55" t="s">
        <v>551</v>
      </c>
      <c r="C347" s="6" t="s">
        <v>573</v>
      </c>
      <c r="D347" s="58">
        <v>220.71</v>
      </c>
      <c r="E347" s="62" t="s">
        <v>293</v>
      </c>
    </row>
    <row r="348" spans="1:5" x14ac:dyDescent="0.2">
      <c r="A348" s="126" t="s">
        <v>753</v>
      </c>
      <c r="B348" s="55" t="s">
        <v>418</v>
      </c>
      <c r="C348" s="6" t="s">
        <v>573</v>
      </c>
      <c r="D348" s="58">
        <v>43.54</v>
      </c>
      <c r="E348" s="62" t="s">
        <v>293</v>
      </c>
    </row>
    <row r="349" spans="1:5" x14ac:dyDescent="0.2">
      <c r="A349" s="126" t="s">
        <v>754</v>
      </c>
      <c r="B349" s="55" t="s">
        <v>419</v>
      </c>
      <c r="C349" s="6" t="s">
        <v>573</v>
      </c>
      <c r="D349" s="58">
        <v>23.49</v>
      </c>
      <c r="E349" s="62" t="s">
        <v>293</v>
      </c>
    </row>
    <row r="350" spans="1:5" x14ac:dyDescent="0.2">
      <c r="A350" s="126"/>
      <c r="B350" s="55"/>
      <c r="C350" s="6"/>
      <c r="D350" s="58"/>
      <c r="E350" s="62"/>
    </row>
    <row r="351" spans="1:5" x14ac:dyDescent="0.2">
      <c r="A351" s="311" t="s">
        <v>964</v>
      </c>
      <c r="B351" s="312"/>
      <c r="C351" s="312"/>
      <c r="D351" s="312"/>
      <c r="E351" s="313"/>
    </row>
    <row r="352" spans="1:5" x14ac:dyDescent="0.2">
      <c r="A352" s="167">
        <v>11</v>
      </c>
      <c r="B352" s="127" t="s">
        <v>63</v>
      </c>
      <c r="C352" s="6"/>
      <c r="D352" s="58"/>
      <c r="E352" s="62"/>
    </row>
    <row r="353" spans="1:5" x14ac:dyDescent="0.2">
      <c r="A353" s="126" t="s">
        <v>566</v>
      </c>
      <c r="B353" s="124" t="s">
        <v>965</v>
      </c>
      <c r="C353" s="6" t="s">
        <v>37</v>
      </c>
      <c r="D353" s="88">
        <f>SUM(D354:D356)</f>
        <v>418.82</v>
      </c>
      <c r="E353" s="62" t="s">
        <v>972</v>
      </c>
    </row>
    <row r="354" spans="1:5" x14ac:dyDescent="0.2">
      <c r="A354" s="126" t="s">
        <v>943</v>
      </c>
      <c r="B354" s="124" t="s">
        <v>967</v>
      </c>
      <c r="C354" s="6" t="s">
        <v>37</v>
      </c>
      <c r="D354" s="88">
        <f>10*3*6.1</f>
        <v>183</v>
      </c>
      <c r="E354" s="62" t="s">
        <v>966</v>
      </c>
    </row>
    <row r="355" spans="1:5" x14ac:dyDescent="0.2">
      <c r="A355" s="126" t="s">
        <v>944</v>
      </c>
      <c r="B355" s="124" t="s">
        <v>968</v>
      </c>
      <c r="C355" s="6" t="s">
        <v>37</v>
      </c>
      <c r="D355" s="88">
        <f>20*2.8*1.27</f>
        <v>71.12</v>
      </c>
      <c r="E355" s="62" t="s">
        <v>969</v>
      </c>
    </row>
    <row r="356" spans="1:5" x14ac:dyDescent="0.2">
      <c r="A356" s="126" t="s">
        <v>945</v>
      </c>
      <c r="B356" s="124" t="s">
        <v>970</v>
      </c>
      <c r="C356" s="6" t="s">
        <v>37</v>
      </c>
      <c r="D356" s="88">
        <f>6.1*(13.5+13.5)</f>
        <v>164.7</v>
      </c>
      <c r="E356" s="62" t="s">
        <v>971</v>
      </c>
    </row>
    <row r="357" spans="1:5" x14ac:dyDescent="0.2">
      <c r="A357" s="318"/>
      <c r="B357" s="319"/>
      <c r="C357" s="319"/>
      <c r="D357" s="319"/>
      <c r="E357" s="320"/>
    </row>
    <row r="358" spans="1:5" x14ac:dyDescent="0.2">
      <c r="A358" s="311" t="s">
        <v>67</v>
      </c>
      <c r="B358" s="312"/>
      <c r="C358" s="312"/>
      <c r="D358" s="312"/>
      <c r="E358" s="313"/>
    </row>
    <row r="359" spans="1:5" x14ac:dyDescent="0.2">
      <c r="A359" s="4">
        <v>12</v>
      </c>
      <c r="B359" s="230" t="s">
        <v>64</v>
      </c>
      <c r="C359" s="231"/>
      <c r="D359" s="231"/>
      <c r="E359" s="232"/>
    </row>
    <row r="360" spans="1:5" x14ac:dyDescent="0.2">
      <c r="A360" s="10" t="s">
        <v>198</v>
      </c>
      <c r="B360" s="55" t="str">
        <f>Orçamento!C265</f>
        <v>CUMEEIRA P/TELHA ONDULADA OU EQUIV</v>
      </c>
      <c r="C360" s="6" t="str">
        <f>Orçamento!E265</f>
        <v>M</v>
      </c>
      <c r="D360" s="88">
        <f>5.7+10.4</f>
        <v>16.100000000000001</v>
      </c>
      <c r="E360" s="62" t="s">
        <v>555</v>
      </c>
    </row>
    <row r="361" spans="1:5" x14ac:dyDescent="0.2">
      <c r="A361" s="290" t="s">
        <v>199</v>
      </c>
      <c r="B361" s="55" t="str">
        <f>Orçamento!C266</f>
        <v>COBERTURA C/TELHA ONDULADA OU EQUIV.</v>
      </c>
      <c r="C361" s="6" t="str">
        <f>Orçamento!E266</f>
        <v>M2</v>
      </c>
      <c r="D361" s="88">
        <f>SUM(D362:D364)</f>
        <v>287.74</v>
      </c>
      <c r="E361" s="62" t="s">
        <v>293</v>
      </c>
    </row>
    <row r="362" spans="1:5" x14ac:dyDescent="0.2">
      <c r="A362" s="291"/>
      <c r="B362" s="55" t="s">
        <v>551</v>
      </c>
      <c r="C362" s="6" t="s">
        <v>34</v>
      </c>
      <c r="D362" s="58">
        <f>217.77+2.94</f>
        <v>220.71</v>
      </c>
      <c r="E362" s="67" t="s">
        <v>293</v>
      </c>
    </row>
    <row r="363" spans="1:5" x14ac:dyDescent="0.2">
      <c r="A363" s="291"/>
      <c r="B363" s="55" t="s">
        <v>418</v>
      </c>
      <c r="C363" s="6" t="s">
        <v>34</v>
      </c>
      <c r="D363" s="58">
        <v>43.54</v>
      </c>
      <c r="E363" s="62" t="s">
        <v>293</v>
      </c>
    </row>
    <row r="364" spans="1:5" x14ac:dyDescent="0.2">
      <c r="A364" s="292"/>
      <c r="B364" s="55" t="s">
        <v>419</v>
      </c>
      <c r="C364" s="6" t="s">
        <v>34</v>
      </c>
      <c r="D364" s="58">
        <v>23.49</v>
      </c>
      <c r="E364" s="62" t="s">
        <v>293</v>
      </c>
    </row>
    <row r="365" spans="1:5" x14ac:dyDescent="0.2">
      <c r="A365" s="10" t="s">
        <v>200</v>
      </c>
      <c r="B365" s="55" t="str">
        <f>Orçamento!C267</f>
        <v xml:space="preserve">COB.C/TELHA FIBER-GLASS C/VÉU PROTEÇÃO/ACESSÓRIOS-1MM </v>
      </c>
      <c r="C365" s="6" t="str">
        <f>Orçamento!E267</f>
        <v>M2</v>
      </c>
      <c r="D365" s="88">
        <f>(49*0.98)+(7*0.29)</f>
        <v>50.05</v>
      </c>
      <c r="E365" s="62" t="s">
        <v>561</v>
      </c>
    </row>
    <row r="366" spans="1:5" ht="25.5" x14ac:dyDescent="0.2">
      <c r="A366" s="10" t="s">
        <v>296</v>
      </c>
      <c r="B366" s="55" t="str">
        <f>Orçamento!C268</f>
        <v>CALHA DE CHAPA GALVANIZADA (20 x20 x30)</v>
      </c>
      <c r="C366" s="6" t="str">
        <f>Orçamento!E268</f>
        <v>M2</v>
      </c>
      <c r="D366" s="88">
        <f>(18.18+6.08+2.55+8.23)*0.3+(18.18+6.08+2.55+8.23)*0.2+(18.18+6.08+2.55+8.23)*0.2</f>
        <v>24.527999999999999</v>
      </c>
      <c r="E366" s="62" t="s">
        <v>557</v>
      </c>
    </row>
    <row r="367" spans="1:5" x14ac:dyDescent="0.2">
      <c r="A367" s="290" t="s">
        <v>297</v>
      </c>
      <c r="B367" s="55" t="str">
        <f>Orçamento!C269</f>
        <v xml:space="preserve">RUFO DE CHAPA GALVANIZADA </v>
      </c>
      <c r="C367" s="6" t="s">
        <v>33</v>
      </c>
      <c r="D367" s="88">
        <f>SUM(D368:D370)</f>
        <v>88.02</v>
      </c>
      <c r="E367" s="62" t="s">
        <v>293</v>
      </c>
    </row>
    <row r="368" spans="1:5" x14ac:dyDescent="0.2">
      <c r="A368" s="291"/>
      <c r="B368" s="55" t="s">
        <v>995</v>
      </c>
      <c r="C368" s="6" t="s">
        <v>33</v>
      </c>
      <c r="D368" s="58">
        <f>(3+6.41+11.16+18.51+15.25+8.57+2.34+2.55+4.59)</f>
        <v>72.38</v>
      </c>
      <c r="E368" s="62" t="s">
        <v>563</v>
      </c>
    </row>
    <row r="369" spans="1:5" x14ac:dyDescent="0.2">
      <c r="A369" s="291"/>
      <c r="B369" s="55" t="s">
        <v>996</v>
      </c>
      <c r="C369" s="6" t="s">
        <v>33</v>
      </c>
      <c r="D369" s="58">
        <f>(3.23+1.78+3.23)</f>
        <v>8.24</v>
      </c>
      <c r="E369" s="62" t="s">
        <v>564</v>
      </c>
    </row>
    <row r="370" spans="1:5" x14ac:dyDescent="0.2">
      <c r="A370" s="292"/>
      <c r="B370" s="55" t="s">
        <v>997</v>
      </c>
      <c r="C370" s="6" t="s">
        <v>33</v>
      </c>
      <c r="D370" s="58">
        <f>(1.92+1.92+1.78+1.78)</f>
        <v>7.4</v>
      </c>
      <c r="E370" s="62" t="s">
        <v>565</v>
      </c>
    </row>
    <row r="371" spans="1:5" ht="25.5" x14ac:dyDescent="0.2">
      <c r="A371" s="10" t="s">
        <v>560</v>
      </c>
      <c r="B371" s="55" t="str">
        <f>Orçamento!C270</f>
        <v>RUFO DE CHAPA GALVANIZADA</v>
      </c>
      <c r="C371" s="6" t="str">
        <f>Orçamento!E270</f>
        <v>M2</v>
      </c>
      <c r="D371" s="88">
        <f>(2.75+0.39+2.54+5.29+5.29+2.39+2.1+4.44+0.7+0.39+4.3+7.34+7.34+2.08)*0.19</f>
        <v>8.9946000000000002</v>
      </c>
      <c r="E371" s="62" t="s">
        <v>558</v>
      </c>
    </row>
    <row r="372" spans="1:5" x14ac:dyDescent="0.2">
      <c r="A372" s="302"/>
      <c r="B372" s="303"/>
      <c r="C372" s="303"/>
      <c r="D372" s="303"/>
      <c r="E372" s="314"/>
    </row>
    <row r="373" spans="1:5" ht="12.75" customHeight="1" x14ac:dyDescent="0.2">
      <c r="A373" s="296" t="s">
        <v>400</v>
      </c>
      <c r="B373" s="297"/>
      <c r="C373" s="297"/>
      <c r="D373" s="297"/>
      <c r="E373" s="298"/>
    </row>
    <row r="374" spans="1:5" x14ac:dyDescent="0.2">
      <c r="A374" s="4">
        <v>13</v>
      </c>
      <c r="B374" s="230" t="s">
        <v>401</v>
      </c>
      <c r="C374" s="231"/>
      <c r="D374" s="231"/>
      <c r="E374" s="232"/>
    </row>
    <row r="375" spans="1:5" x14ac:dyDescent="0.2">
      <c r="A375" s="9" t="s">
        <v>201</v>
      </c>
      <c r="B375" s="55" t="str">
        <f>Orçamento!C274</f>
        <v>PORTA LISA 70x210 C/PORTAL E ALISAR S/FERRAGENS</v>
      </c>
      <c r="C375" s="6" t="s">
        <v>2</v>
      </c>
      <c r="D375" s="88">
        <f>Orçamento!D274</f>
        <v>1</v>
      </c>
      <c r="E375" s="62"/>
    </row>
    <row r="376" spans="1:5" x14ac:dyDescent="0.2">
      <c r="A376" s="9" t="s">
        <v>202</v>
      </c>
      <c r="B376" s="55" t="str">
        <f>Orçamento!C275</f>
        <v xml:space="preserve">PORTA LISA 80x210 C/PORTAL E ALISAR S/FERRAGENS </v>
      </c>
      <c r="C376" s="6" t="s">
        <v>2</v>
      </c>
      <c r="D376" s="88">
        <f>Orçamento!D275</f>
        <v>6</v>
      </c>
      <c r="E376" s="62"/>
    </row>
    <row r="377" spans="1:5" x14ac:dyDescent="0.2">
      <c r="A377" s="9" t="s">
        <v>203</v>
      </c>
      <c r="B377" s="55" t="str">
        <f>Orçamento!C276</f>
        <v xml:space="preserve">PORTA LISA 90X210 COM PORTAL E ALISAR SEM FERRAGENS </v>
      </c>
      <c r="C377" s="6" t="s">
        <v>2</v>
      </c>
      <c r="D377" s="88">
        <f>Orçamento!D276</f>
        <v>7</v>
      </c>
      <c r="E377" s="62"/>
    </row>
    <row r="378" spans="1:5" x14ac:dyDescent="0.2">
      <c r="A378" s="9" t="s">
        <v>420</v>
      </c>
      <c r="B378" s="55" t="str">
        <f>Orçamento!C277</f>
        <v xml:space="preserve"> FOLHA DE PORTA LISA 60/70/80X210 </v>
      </c>
      <c r="C378" s="6" t="s">
        <v>2</v>
      </c>
      <c r="D378" s="88">
        <f>Orçamento!D277</f>
        <v>2</v>
      </c>
      <c r="E378" s="62"/>
    </row>
    <row r="379" spans="1:5" x14ac:dyDescent="0.2">
      <c r="A379" s="9" t="s">
        <v>421</v>
      </c>
      <c r="B379" s="55" t="str">
        <f>Orçamento!C278</f>
        <v xml:space="preserve"> FOLHA DE PORTA LISA 90 X 210 </v>
      </c>
      <c r="C379" s="6" t="s">
        <v>2</v>
      </c>
      <c r="D379" s="88">
        <f>Orçamento!D278</f>
        <v>1</v>
      </c>
      <c r="E379" s="62"/>
    </row>
    <row r="380" spans="1:5" x14ac:dyDescent="0.2">
      <c r="A380" s="318"/>
      <c r="B380" s="319"/>
      <c r="C380" s="319"/>
      <c r="D380" s="319"/>
      <c r="E380" s="320"/>
    </row>
    <row r="381" spans="1:5" x14ac:dyDescent="0.2">
      <c r="A381" s="311" t="s">
        <v>66</v>
      </c>
      <c r="B381" s="312"/>
      <c r="C381" s="312"/>
      <c r="D381" s="312"/>
      <c r="E381" s="313"/>
    </row>
    <row r="382" spans="1:5" x14ac:dyDescent="0.2">
      <c r="A382" s="4">
        <v>14</v>
      </c>
      <c r="B382" s="230" t="s">
        <v>65</v>
      </c>
      <c r="C382" s="231"/>
      <c r="D382" s="231"/>
      <c r="E382" s="232"/>
    </row>
    <row r="383" spans="1:5" x14ac:dyDescent="0.2">
      <c r="A383" s="10" t="s">
        <v>182</v>
      </c>
      <c r="B383" s="55" t="str">
        <f>Orçamento!C282</f>
        <v>ESQ.DE CORRER CHAPA/VIDRO J9/J10/J12/J13 C/FERRAGENS</v>
      </c>
      <c r="C383" s="6" t="str">
        <f>Orçamento!E282</f>
        <v>M2</v>
      </c>
      <c r="D383" s="88">
        <f>Orçamento!D282</f>
        <v>11.799999999999999</v>
      </c>
      <c r="E383" s="67" t="s">
        <v>613</v>
      </c>
    </row>
    <row r="384" spans="1:5" x14ac:dyDescent="0.2">
      <c r="A384" s="10" t="s">
        <v>239</v>
      </c>
      <c r="B384" s="55" t="str">
        <f>Orçamento!C283</f>
        <v>ESQUADRIA BASCULANTE EM CHAPA J17, J18 e J19 C/FERRAGENS</v>
      </c>
      <c r="C384" s="6" t="str">
        <f>Orçamento!E283</f>
        <v>M2</v>
      </c>
      <c r="D384" s="88">
        <f>Orçamento!D283</f>
        <v>0.48000000000000009</v>
      </c>
      <c r="E384" s="67" t="s">
        <v>427</v>
      </c>
    </row>
    <row r="385" spans="1:5" ht="25.5" x14ac:dyDescent="0.2">
      <c r="A385" s="10" t="s">
        <v>1000</v>
      </c>
      <c r="B385" s="55" t="str">
        <f>Orçamento!C284</f>
        <v>PORTA DE ABRIR ALUMÍNIO NATURAL EM VENEZIANA C/FERRAGENS (M.O.FAB.INC.MAT.)</v>
      </c>
      <c r="C385" s="6" t="str">
        <f>Orçamento!E284</f>
        <v>M2</v>
      </c>
      <c r="D385" s="88">
        <f>Orçamento!D284</f>
        <v>9.6</v>
      </c>
      <c r="E385" s="67" t="s">
        <v>612</v>
      </c>
    </row>
    <row r="386" spans="1:5" x14ac:dyDescent="0.2">
      <c r="A386" s="10" t="s">
        <v>1001</v>
      </c>
      <c r="B386" s="55" t="str">
        <f>Orçamento!C285</f>
        <v>PORTA CORTA FOGO COMPLETA</v>
      </c>
      <c r="C386" s="6" t="str">
        <f>Orçamento!E285</f>
        <v>UND.</v>
      </c>
      <c r="D386" s="88">
        <f>Orçamento!D285</f>
        <v>1</v>
      </c>
      <c r="E386" s="67" t="s">
        <v>293</v>
      </c>
    </row>
    <row r="387" spans="1:5" x14ac:dyDescent="0.2">
      <c r="A387" s="10" t="s">
        <v>1002</v>
      </c>
      <c r="B387" s="55" t="str">
        <f>Orçamento!C286</f>
        <v>PORTA ABRIR/VIDRO (2) FOLHAS PF-9 C/FERRAGENS</v>
      </c>
      <c r="C387" s="6" t="str">
        <f>Orçamento!E286</f>
        <v>M2</v>
      </c>
      <c r="D387" s="88">
        <f>Orçamento!D286</f>
        <v>2.7300000000000004</v>
      </c>
      <c r="E387" s="144" t="s">
        <v>428</v>
      </c>
    </row>
    <row r="388" spans="1:5" x14ac:dyDescent="0.2">
      <c r="A388" s="10" t="s">
        <v>1003</v>
      </c>
      <c r="B388" s="15" t="s">
        <v>606</v>
      </c>
      <c r="C388" s="6" t="s">
        <v>34</v>
      </c>
      <c r="D388" s="88">
        <v>9.1</v>
      </c>
      <c r="E388" s="144" t="s">
        <v>611</v>
      </c>
    </row>
    <row r="389" spans="1:5" ht="25.5" x14ac:dyDescent="0.2">
      <c r="A389" s="10" t="s">
        <v>1004</v>
      </c>
      <c r="B389" s="55" t="str">
        <f>Orçamento!C288</f>
        <v>ALÇAPÃO FORMATO COIFA EM CHAPA VINCADA Nº. 18 H=(10+2)CM, C/ALÇAS E PORTA CADEADOS (INCLUSIVE CADEADOS Nº. 30)</v>
      </c>
      <c r="C389" s="6" t="str">
        <f>Orçamento!E288</f>
        <v>M2</v>
      </c>
      <c r="D389" s="88">
        <f>Orçamento!D288</f>
        <v>0.32</v>
      </c>
      <c r="E389" s="67" t="s">
        <v>429</v>
      </c>
    </row>
    <row r="390" spans="1:5" ht="25.5" x14ac:dyDescent="0.2">
      <c r="A390" s="10" t="s">
        <v>1005</v>
      </c>
      <c r="B390" s="17" t="s">
        <v>608</v>
      </c>
      <c r="C390" s="6" t="s">
        <v>34</v>
      </c>
      <c r="D390" s="88">
        <f>(8.4+3.2+2.7+3)*2.9</f>
        <v>50.17</v>
      </c>
      <c r="E390" s="67" t="s">
        <v>962</v>
      </c>
    </row>
    <row r="391" spans="1:5" x14ac:dyDescent="0.2">
      <c r="A391" s="10" t="s">
        <v>1041</v>
      </c>
      <c r="B391" s="124" t="s">
        <v>1047</v>
      </c>
      <c r="C391" s="6" t="s">
        <v>34</v>
      </c>
      <c r="D391" s="88">
        <f>(1.5*10*0.52)+(2.1*0.8)</f>
        <v>9.48</v>
      </c>
      <c r="E391" s="67" t="s">
        <v>1069</v>
      </c>
    </row>
    <row r="392" spans="1:5" x14ac:dyDescent="0.2">
      <c r="A392" s="10" t="s">
        <v>1042</v>
      </c>
      <c r="B392" s="124" t="s">
        <v>1033</v>
      </c>
      <c r="C392" s="6" t="s">
        <v>33</v>
      </c>
      <c r="D392" s="88">
        <v>3.4</v>
      </c>
      <c r="E392" s="67" t="s">
        <v>293</v>
      </c>
    </row>
    <row r="393" spans="1:5" x14ac:dyDescent="0.2">
      <c r="A393" s="10" t="s">
        <v>1049</v>
      </c>
      <c r="B393" s="124" t="s">
        <v>1035</v>
      </c>
      <c r="C393" s="6" t="s">
        <v>33</v>
      </c>
      <c r="D393" s="88">
        <v>3</v>
      </c>
      <c r="E393" s="67" t="s">
        <v>293</v>
      </c>
    </row>
    <row r="394" spans="1:5" x14ac:dyDescent="0.2">
      <c r="A394" s="299"/>
      <c r="B394" s="300"/>
      <c r="C394" s="300"/>
      <c r="D394" s="300"/>
      <c r="E394" s="301"/>
    </row>
    <row r="395" spans="1:5" x14ac:dyDescent="0.2">
      <c r="A395" s="296" t="s">
        <v>68</v>
      </c>
      <c r="B395" s="297"/>
      <c r="C395" s="297"/>
      <c r="D395" s="297"/>
      <c r="E395" s="298"/>
    </row>
    <row r="396" spans="1:5" x14ac:dyDescent="0.2">
      <c r="A396" s="4">
        <v>15</v>
      </c>
      <c r="B396" s="230" t="s">
        <v>69</v>
      </c>
      <c r="C396" s="231"/>
      <c r="D396" s="231"/>
      <c r="E396" s="232"/>
    </row>
    <row r="397" spans="1:5" ht="25.5" x14ac:dyDescent="0.2">
      <c r="A397" s="10" t="s">
        <v>191</v>
      </c>
      <c r="B397" s="55" t="str">
        <f>Orçamento!C296</f>
        <v xml:space="preserve"> VIDRO LISO 4 MM - COLOCADO</v>
      </c>
      <c r="C397" s="6" t="str">
        <f>Orçamento!E296</f>
        <v>M2</v>
      </c>
      <c r="D397" s="88">
        <f>9*1.2*1+3*0.4*0.4+1*1.2*1.8+1*1*1+3*0.8*1.8</f>
        <v>18.760000000000002</v>
      </c>
      <c r="E397" s="67" t="s">
        <v>1032</v>
      </c>
    </row>
    <row r="398" spans="1:5" x14ac:dyDescent="0.2">
      <c r="A398" s="10" t="s">
        <v>192</v>
      </c>
      <c r="B398" s="55" t="str">
        <f>Orçamento!C297</f>
        <v>VIDRO TEMPERADO 10 MM - COLOCADO</v>
      </c>
      <c r="C398" s="6" t="str">
        <f>Orçamento!E297</f>
        <v>M2</v>
      </c>
      <c r="D398" s="88">
        <f>1*1.3*2.1+1*2.2*1.4</f>
        <v>5.8100000000000005</v>
      </c>
      <c r="E398" s="67" t="s">
        <v>1031</v>
      </c>
    </row>
    <row r="399" spans="1:5" x14ac:dyDescent="0.2">
      <c r="A399" s="299"/>
      <c r="B399" s="300"/>
      <c r="C399" s="300"/>
      <c r="D399" s="300"/>
      <c r="E399" s="301"/>
    </row>
    <row r="400" spans="1:5" x14ac:dyDescent="0.2">
      <c r="A400" s="296" t="s">
        <v>184</v>
      </c>
      <c r="B400" s="297"/>
      <c r="C400" s="297"/>
      <c r="D400" s="297"/>
      <c r="E400" s="298"/>
    </row>
    <row r="401" spans="1:5" x14ac:dyDescent="0.2">
      <c r="A401" s="4">
        <v>16</v>
      </c>
      <c r="B401" s="230" t="s">
        <v>183</v>
      </c>
      <c r="C401" s="231"/>
      <c r="D401" s="231"/>
      <c r="E401" s="232"/>
    </row>
    <row r="402" spans="1:5" x14ac:dyDescent="0.2">
      <c r="A402" s="185" t="s">
        <v>195</v>
      </c>
      <c r="B402" s="127" t="str">
        <f>Orçamento!C301</f>
        <v>REBOCO PAULISTA A-14 (1CALH:4ARMLC+100kgCI/M3)</v>
      </c>
      <c r="C402" s="6" t="str">
        <f>Orçamento!E301</f>
        <v>M2</v>
      </c>
      <c r="D402" s="88">
        <f>SUM(D404+D408+D412+D416+D424+D420+D428+D432+D436+D440+D444+D448+D452+D456+D460+D464+D468+D472+D476+D480+D484+D490+D489+D491)</f>
        <v>1297.7271999999998</v>
      </c>
      <c r="E402" s="62"/>
    </row>
    <row r="403" spans="1:5" x14ac:dyDescent="0.2">
      <c r="A403" s="168"/>
      <c r="B403" s="305" t="s">
        <v>551</v>
      </c>
      <c r="C403" s="306"/>
      <c r="D403" s="306"/>
      <c r="E403" s="307"/>
    </row>
    <row r="404" spans="1:5" ht="25.5" x14ac:dyDescent="0.2">
      <c r="A404" s="290" t="s">
        <v>1006</v>
      </c>
      <c r="B404" s="109" t="s">
        <v>444</v>
      </c>
      <c r="C404" s="89" t="s">
        <v>34</v>
      </c>
      <c r="D404" s="78">
        <f>(D405*D406)-D407</f>
        <v>35.635800000000003</v>
      </c>
      <c r="E404" s="145" t="s">
        <v>441</v>
      </c>
    </row>
    <row r="405" spans="1:5" x14ac:dyDescent="0.2">
      <c r="A405" s="291"/>
      <c r="B405" s="109" t="s">
        <v>439</v>
      </c>
      <c r="C405" s="89" t="s">
        <v>33</v>
      </c>
      <c r="D405" s="91">
        <f>(3.3+4.25+2.31+3.95+2.15+1.5)</f>
        <v>17.46</v>
      </c>
      <c r="E405" s="145" t="s">
        <v>443</v>
      </c>
    </row>
    <row r="406" spans="1:5" x14ac:dyDescent="0.2">
      <c r="A406" s="291"/>
      <c r="B406" s="109" t="s">
        <v>440</v>
      </c>
      <c r="C406" s="89" t="s">
        <v>33</v>
      </c>
      <c r="D406" s="91">
        <v>2.73</v>
      </c>
      <c r="E406" s="145">
        <v>2.73</v>
      </c>
    </row>
    <row r="407" spans="1:5" x14ac:dyDescent="0.2">
      <c r="A407" s="292"/>
      <c r="B407" s="109" t="s">
        <v>445</v>
      </c>
      <c r="C407" s="98" t="s">
        <v>34</v>
      </c>
      <c r="D407" s="91">
        <f>(3*(0.8*1.8))+(1.2*1)+(1.3*2.1)+(2*(0.9*2.1))</f>
        <v>12.030000000000001</v>
      </c>
      <c r="E407" s="145" t="s">
        <v>442</v>
      </c>
    </row>
    <row r="408" spans="1:5" x14ac:dyDescent="0.2">
      <c r="A408" s="290" t="s">
        <v>1007</v>
      </c>
      <c r="B408" s="109" t="s">
        <v>454</v>
      </c>
      <c r="C408" s="89" t="s">
        <v>34</v>
      </c>
      <c r="D408" s="90">
        <f>D409*D410-D411</f>
        <v>33.164400000000001</v>
      </c>
      <c r="E408" s="86" t="s">
        <v>453</v>
      </c>
    </row>
    <row r="409" spans="1:5" x14ac:dyDescent="0.2">
      <c r="A409" s="291"/>
      <c r="B409" s="109" t="s">
        <v>439</v>
      </c>
      <c r="C409" s="89" t="s">
        <v>33</v>
      </c>
      <c r="D409" s="91">
        <f>(2*2.54)+(4.1*2)</f>
        <v>13.28</v>
      </c>
      <c r="E409" s="86" t="s">
        <v>451</v>
      </c>
    </row>
    <row r="410" spans="1:5" x14ac:dyDescent="0.2">
      <c r="A410" s="291"/>
      <c r="B410" s="109" t="s">
        <v>439</v>
      </c>
      <c r="C410" s="89" t="s">
        <v>33</v>
      </c>
      <c r="D410" s="91">
        <v>2.73</v>
      </c>
      <c r="E410" s="86">
        <v>2.73</v>
      </c>
    </row>
    <row r="411" spans="1:5" x14ac:dyDescent="0.2">
      <c r="A411" s="292"/>
      <c r="B411" s="109" t="s">
        <v>445</v>
      </c>
      <c r="C411" s="98" t="s">
        <v>34</v>
      </c>
      <c r="D411" s="91">
        <f>(1.2*1)+(0.9*2.1)</f>
        <v>3.09</v>
      </c>
      <c r="E411" s="86" t="s">
        <v>452</v>
      </c>
    </row>
    <row r="412" spans="1:5" x14ac:dyDescent="0.2">
      <c r="A412" s="290" t="s">
        <v>1008</v>
      </c>
      <c r="B412" s="109" t="s">
        <v>455</v>
      </c>
      <c r="C412" s="89" t="s">
        <v>34</v>
      </c>
      <c r="D412" s="90">
        <f>D413*D414-D415</f>
        <v>33.164400000000001</v>
      </c>
      <c r="E412" s="86" t="s">
        <v>453</v>
      </c>
    </row>
    <row r="413" spans="1:5" x14ac:dyDescent="0.2">
      <c r="A413" s="291"/>
      <c r="B413" s="109" t="s">
        <v>439</v>
      </c>
      <c r="C413" s="89" t="s">
        <v>33</v>
      </c>
      <c r="D413" s="91">
        <f>(2*2.54)+(4.1*2)</f>
        <v>13.28</v>
      </c>
      <c r="E413" s="86" t="s">
        <v>451</v>
      </c>
    </row>
    <row r="414" spans="1:5" x14ac:dyDescent="0.2">
      <c r="A414" s="291"/>
      <c r="B414" s="109" t="s">
        <v>440</v>
      </c>
      <c r="C414" s="89" t="s">
        <v>33</v>
      </c>
      <c r="D414" s="91">
        <v>2.73</v>
      </c>
      <c r="E414" s="86">
        <v>2.73</v>
      </c>
    </row>
    <row r="415" spans="1:5" x14ac:dyDescent="0.2">
      <c r="A415" s="292"/>
      <c r="B415" s="109" t="s">
        <v>445</v>
      </c>
      <c r="C415" s="98" t="s">
        <v>34</v>
      </c>
      <c r="D415" s="91">
        <f>(1.2*1)+(0.9*2.1)</f>
        <v>3.09</v>
      </c>
      <c r="E415" s="86" t="s">
        <v>452</v>
      </c>
    </row>
    <row r="416" spans="1:5" ht="25.5" x14ac:dyDescent="0.2">
      <c r="A416" s="290" t="s">
        <v>1009</v>
      </c>
      <c r="B416" s="109" t="s">
        <v>459</v>
      </c>
      <c r="C416" s="89" t="s">
        <v>34</v>
      </c>
      <c r="D416" s="90">
        <f>(D417*D418)-D419</f>
        <v>87.775800000000004</v>
      </c>
      <c r="E416" s="86" t="s">
        <v>458</v>
      </c>
    </row>
    <row r="417" spans="1:5" x14ac:dyDescent="0.2">
      <c r="A417" s="291"/>
      <c r="B417" s="109" t="s">
        <v>439</v>
      </c>
      <c r="C417" s="89" t="s">
        <v>33</v>
      </c>
      <c r="D417" s="91">
        <f>39.91+1.2+1.35</f>
        <v>42.46</v>
      </c>
      <c r="E417" s="86" t="s">
        <v>456</v>
      </c>
    </row>
    <row r="418" spans="1:5" x14ac:dyDescent="0.2">
      <c r="A418" s="291"/>
      <c r="B418" s="109" t="s">
        <v>440</v>
      </c>
      <c r="C418" s="89" t="s">
        <v>33</v>
      </c>
      <c r="D418" s="91">
        <v>2.73</v>
      </c>
      <c r="E418" s="86">
        <v>2.73</v>
      </c>
    </row>
    <row r="419" spans="1:5" ht="24.75" customHeight="1" x14ac:dyDescent="0.2">
      <c r="A419" s="292"/>
      <c r="B419" s="109" t="s">
        <v>445</v>
      </c>
      <c r="C419" s="98" t="s">
        <v>34</v>
      </c>
      <c r="D419" s="91">
        <f>(7*0.9*2.1)+(1.1*2.1)+(4*0.8*2.1)+(1.2*1.8)+(1.2*1)+(1.2*2.1)</f>
        <v>28.14</v>
      </c>
      <c r="E419" s="86" t="s">
        <v>457</v>
      </c>
    </row>
    <row r="420" spans="1:5" x14ac:dyDescent="0.2">
      <c r="A420" s="290" t="s">
        <v>1010</v>
      </c>
      <c r="B420" s="109" t="s">
        <v>460</v>
      </c>
      <c r="C420" s="89" t="s">
        <v>34</v>
      </c>
      <c r="D420" s="90">
        <f>(D421*D422)-D423</f>
        <v>26.257999999999999</v>
      </c>
      <c r="E420" s="86" t="s">
        <v>463</v>
      </c>
    </row>
    <row r="421" spans="1:5" x14ac:dyDescent="0.2">
      <c r="A421" s="291"/>
      <c r="B421" s="109" t="s">
        <v>439</v>
      </c>
      <c r="C421" s="89" t="s">
        <v>33</v>
      </c>
      <c r="D421" s="91">
        <f>(2*4.1)+(2*1.2)</f>
        <v>10.6</v>
      </c>
      <c r="E421" s="86" t="s">
        <v>461</v>
      </c>
    </row>
    <row r="422" spans="1:5" x14ac:dyDescent="0.2">
      <c r="A422" s="291"/>
      <c r="B422" s="109" t="s">
        <v>440</v>
      </c>
      <c r="C422" s="89" t="s">
        <v>33</v>
      </c>
      <c r="D422" s="91">
        <v>2.73</v>
      </c>
      <c r="E422" s="86">
        <v>2.73</v>
      </c>
    </row>
    <row r="423" spans="1:5" x14ac:dyDescent="0.2">
      <c r="A423" s="292"/>
      <c r="B423" s="109" t="s">
        <v>445</v>
      </c>
      <c r="C423" s="98" t="s">
        <v>34</v>
      </c>
      <c r="D423" s="91">
        <f>(1*1)+(0.8*2.1)</f>
        <v>2.68</v>
      </c>
      <c r="E423" s="86" t="s">
        <v>462</v>
      </c>
    </row>
    <row r="424" spans="1:5" x14ac:dyDescent="0.2">
      <c r="A424" s="290" t="s">
        <v>1011</v>
      </c>
      <c r="B424" s="109" t="s">
        <v>464</v>
      </c>
      <c r="C424" s="89" t="s">
        <v>34</v>
      </c>
      <c r="D424" s="90">
        <f>(D425*D426)-D427</f>
        <v>36.112799999999993</v>
      </c>
      <c r="E424" s="86" t="s">
        <v>467</v>
      </c>
    </row>
    <row r="425" spans="1:5" x14ac:dyDescent="0.2">
      <c r="A425" s="291"/>
      <c r="B425" s="109" t="s">
        <v>439</v>
      </c>
      <c r="C425" s="89" t="s">
        <v>33</v>
      </c>
      <c r="D425" s="91">
        <f>(2*4.1)+(2*3.08)</f>
        <v>14.36</v>
      </c>
      <c r="E425" s="86" t="s">
        <v>465</v>
      </c>
    </row>
    <row r="426" spans="1:5" x14ac:dyDescent="0.2">
      <c r="A426" s="291"/>
      <c r="B426" s="109" t="s">
        <v>440</v>
      </c>
      <c r="C426" s="89" t="s">
        <v>33</v>
      </c>
      <c r="D426" s="91">
        <v>2.73</v>
      </c>
      <c r="E426" s="86">
        <v>2.73</v>
      </c>
    </row>
    <row r="427" spans="1:5" x14ac:dyDescent="0.2">
      <c r="A427" s="292"/>
      <c r="B427" s="109" t="s">
        <v>445</v>
      </c>
      <c r="C427" s="98" t="s">
        <v>34</v>
      </c>
      <c r="D427" s="91">
        <f>(0.9*2.1)+(1.2*1)</f>
        <v>3.09</v>
      </c>
      <c r="E427" s="86" t="s">
        <v>466</v>
      </c>
    </row>
    <row r="428" spans="1:5" x14ac:dyDescent="0.2">
      <c r="A428" s="290" t="s">
        <v>1012</v>
      </c>
      <c r="B428" s="109" t="s">
        <v>468</v>
      </c>
      <c r="C428" s="89" t="s">
        <v>34</v>
      </c>
      <c r="D428" s="90">
        <f>(D429*D430)-D431</f>
        <v>36.112799999999993</v>
      </c>
      <c r="E428" s="86" t="s">
        <v>467</v>
      </c>
    </row>
    <row r="429" spans="1:5" x14ac:dyDescent="0.2">
      <c r="A429" s="291"/>
      <c r="B429" s="109" t="s">
        <v>439</v>
      </c>
      <c r="C429" s="89" t="s">
        <v>33</v>
      </c>
      <c r="D429" s="91">
        <f>(2*4.1)+(2*3.08)</f>
        <v>14.36</v>
      </c>
      <c r="E429" s="86" t="s">
        <v>465</v>
      </c>
    </row>
    <row r="430" spans="1:5" x14ac:dyDescent="0.2">
      <c r="A430" s="291"/>
      <c r="B430" s="109" t="s">
        <v>440</v>
      </c>
      <c r="C430" s="89" t="s">
        <v>33</v>
      </c>
      <c r="D430" s="91">
        <v>2.73</v>
      </c>
      <c r="E430" s="86">
        <v>2.73</v>
      </c>
    </row>
    <row r="431" spans="1:5" x14ac:dyDescent="0.2">
      <c r="A431" s="292"/>
      <c r="B431" s="109" t="s">
        <v>445</v>
      </c>
      <c r="C431" s="98" t="s">
        <v>34</v>
      </c>
      <c r="D431" s="91">
        <f>(0.9*2.1)+(1.2*1)</f>
        <v>3.09</v>
      </c>
      <c r="E431" s="86" t="s">
        <v>466</v>
      </c>
    </row>
    <row r="432" spans="1:5" x14ac:dyDescent="0.2">
      <c r="A432" s="290" t="s">
        <v>1013</v>
      </c>
      <c r="B432" s="109" t="s">
        <v>438</v>
      </c>
      <c r="C432" s="89" t="s">
        <v>34</v>
      </c>
      <c r="D432" s="90">
        <f>(D433*D434)-D435</f>
        <v>14.7</v>
      </c>
      <c r="E432" s="86" t="s">
        <v>473</v>
      </c>
    </row>
    <row r="433" spans="1:5" x14ac:dyDescent="0.2">
      <c r="A433" s="291"/>
      <c r="B433" s="109" t="s">
        <v>439</v>
      </c>
      <c r="C433" s="89" t="s">
        <v>33</v>
      </c>
      <c r="D433" s="91">
        <f>(4*1.5)</f>
        <v>6</v>
      </c>
      <c r="E433" s="86" t="s">
        <v>474</v>
      </c>
    </row>
    <row r="434" spans="1:5" x14ac:dyDescent="0.2">
      <c r="A434" s="291"/>
      <c r="B434" s="109" t="s">
        <v>440</v>
      </c>
      <c r="C434" s="89" t="s">
        <v>33</v>
      </c>
      <c r="D434" s="91">
        <v>2.73</v>
      </c>
      <c r="E434" s="86">
        <v>2.73</v>
      </c>
    </row>
    <row r="435" spans="1:5" x14ac:dyDescent="0.2">
      <c r="A435" s="292"/>
      <c r="B435" s="109" t="s">
        <v>445</v>
      </c>
      <c r="C435" s="98" t="s">
        <v>34</v>
      </c>
      <c r="D435" s="91">
        <f>0.8*2.1</f>
        <v>1.6800000000000002</v>
      </c>
      <c r="E435" s="86" t="s">
        <v>475</v>
      </c>
    </row>
    <row r="436" spans="1:5" x14ac:dyDescent="0.2">
      <c r="A436" s="290" t="s">
        <v>1015</v>
      </c>
      <c r="B436" s="109" t="s">
        <v>469</v>
      </c>
      <c r="C436" s="89" t="s">
        <v>34</v>
      </c>
      <c r="D436" s="90">
        <f>(D437*D438)-D439</f>
        <v>12.6525</v>
      </c>
      <c r="E436" s="86" t="s">
        <v>476</v>
      </c>
    </row>
    <row r="437" spans="1:5" x14ac:dyDescent="0.2">
      <c r="A437" s="291"/>
      <c r="B437" s="109" t="s">
        <v>439</v>
      </c>
      <c r="C437" s="89" t="s">
        <v>33</v>
      </c>
      <c r="D437" s="91">
        <f>(4.25+1)</f>
        <v>5.25</v>
      </c>
      <c r="E437" s="86" t="s">
        <v>477</v>
      </c>
    </row>
    <row r="438" spans="1:5" x14ac:dyDescent="0.2">
      <c r="A438" s="291"/>
      <c r="B438" s="109" t="s">
        <v>440</v>
      </c>
      <c r="C438" s="89" t="s">
        <v>33</v>
      </c>
      <c r="D438" s="91">
        <v>2.73</v>
      </c>
      <c r="E438" s="86">
        <v>2.73</v>
      </c>
    </row>
    <row r="439" spans="1:5" x14ac:dyDescent="0.2">
      <c r="A439" s="292"/>
      <c r="B439" s="109" t="s">
        <v>445</v>
      </c>
      <c r="C439" s="98" t="s">
        <v>34</v>
      </c>
      <c r="D439" s="91">
        <f>0.8*2.1</f>
        <v>1.6800000000000002</v>
      </c>
      <c r="E439" s="86" t="s">
        <v>475</v>
      </c>
    </row>
    <row r="440" spans="1:5" x14ac:dyDescent="0.2">
      <c r="A440" s="290" t="s">
        <v>1016</v>
      </c>
      <c r="B440" s="109" t="s">
        <v>470</v>
      </c>
      <c r="C440" s="89" t="s">
        <v>34</v>
      </c>
      <c r="D440" s="90">
        <f>(D441*D442)-D443</f>
        <v>21.724499999999999</v>
      </c>
      <c r="E440" s="86" t="s">
        <v>482</v>
      </c>
    </row>
    <row r="441" spans="1:5" x14ac:dyDescent="0.2">
      <c r="A441" s="291"/>
      <c r="B441" s="109" t="s">
        <v>439</v>
      </c>
      <c r="C441" s="89" t="s">
        <v>33</v>
      </c>
      <c r="D441" s="91">
        <f>(2.05*2)+(2.65)+(1.9)</f>
        <v>8.65</v>
      </c>
      <c r="E441" s="86" t="s">
        <v>478</v>
      </c>
    </row>
    <row r="442" spans="1:5" x14ac:dyDescent="0.2">
      <c r="A442" s="291"/>
      <c r="B442" s="109" t="s">
        <v>440</v>
      </c>
      <c r="C442" s="89" t="s">
        <v>33</v>
      </c>
      <c r="D442" s="91">
        <v>2.73</v>
      </c>
      <c r="E442" s="86">
        <v>2.73</v>
      </c>
    </row>
    <row r="443" spans="1:5" x14ac:dyDescent="0.2">
      <c r="A443" s="292"/>
      <c r="B443" s="109" t="s">
        <v>445</v>
      </c>
      <c r="C443" s="98" t="s">
        <v>34</v>
      </c>
      <c r="D443" s="91">
        <f>(0.9*2.1)</f>
        <v>1.8900000000000001</v>
      </c>
      <c r="E443" s="86" t="s">
        <v>479</v>
      </c>
    </row>
    <row r="444" spans="1:5" x14ac:dyDescent="0.2">
      <c r="A444" s="290" t="s">
        <v>1017</v>
      </c>
      <c r="B444" s="109" t="s">
        <v>471</v>
      </c>
      <c r="C444" s="89" t="s">
        <v>34</v>
      </c>
      <c r="D444" s="90">
        <f>(D445*D446)-D447</f>
        <v>23.3645</v>
      </c>
      <c r="E444" s="86" t="s">
        <v>481</v>
      </c>
    </row>
    <row r="445" spans="1:5" x14ac:dyDescent="0.2">
      <c r="A445" s="291"/>
      <c r="B445" s="109" t="s">
        <v>439</v>
      </c>
      <c r="C445" s="89" t="s">
        <v>33</v>
      </c>
      <c r="D445" s="91">
        <f>(2.05*2)+(2.65)+(1.9)</f>
        <v>8.65</v>
      </c>
      <c r="E445" s="86" t="s">
        <v>478</v>
      </c>
    </row>
    <row r="446" spans="1:5" x14ac:dyDescent="0.2">
      <c r="A446" s="291"/>
      <c r="B446" s="109" t="s">
        <v>440</v>
      </c>
      <c r="C446" s="89" t="s">
        <v>33</v>
      </c>
      <c r="D446" s="91">
        <v>2.73</v>
      </c>
      <c r="E446" s="86">
        <v>2.73</v>
      </c>
    </row>
    <row r="447" spans="1:5" x14ac:dyDescent="0.2">
      <c r="A447" s="292"/>
      <c r="B447" s="109" t="s">
        <v>445</v>
      </c>
      <c r="C447" s="98" t="s">
        <v>34</v>
      </c>
      <c r="D447" s="91">
        <f>0.5*0.5</f>
        <v>0.25</v>
      </c>
      <c r="E447" s="86" t="s">
        <v>480</v>
      </c>
    </row>
    <row r="448" spans="1:5" x14ac:dyDescent="0.2">
      <c r="A448" s="290" t="s">
        <v>1018</v>
      </c>
      <c r="B448" s="109" t="s">
        <v>472</v>
      </c>
      <c r="C448" s="89" t="s">
        <v>34</v>
      </c>
      <c r="D448" s="90">
        <f>(D449*D450)-D451</f>
        <v>19.354799999999997</v>
      </c>
      <c r="E448" s="86" t="s">
        <v>485</v>
      </c>
    </row>
    <row r="449" spans="1:5" x14ac:dyDescent="0.2">
      <c r="A449" s="291"/>
      <c r="B449" s="109" t="s">
        <v>439</v>
      </c>
      <c r="C449" s="89" t="s">
        <v>33</v>
      </c>
      <c r="D449" s="91">
        <f>(3.08*2)+(1.3*2)</f>
        <v>8.76</v>
      </c>
      <c r="E449" s="86" t="s">
        <v>483</v>
      </c>
    </row>
    <row r="450" spans="1:5" x14ac:dyDescent="0.2">
      <c r="A450" s="291"/>
      <c r="B450" s="109" t="s">
        <v>440</v>
      </c>
      <c r="C450" s="89" t="s">
        <v>33</v>
      </c>
      <c r="D450" s="91">
        <v>2.73</v>
      </c>
      <c r="E450" s="86">
        <v>2.73</v>
      </c>
    </row>
    <row r="451" spans="1:5" x14ac:dyDescent="0.2">
      <c r="A451" s="292"/>
      <c r="B451" s="109" t="s">
        <v>445</v>
      </c>
      <c r="C451" s="98" t="s">
        <v>34</v>
      </c>
      <c r="D451" s="91">
        <f>(2*1.2*1)+(1.2*1.8)</f>
        <v>4.5600000000000005</v>
      </c>
      <c r="E451" s="86" t="s">
        <v>484</v>
      </c>
    </row>
    <row r="452" spans="1:5" x14ac:dyDescent="0.2">
      <c r="A452" s="290" t="s">
        <v>1019</v>
      </c>
      <c r="B452" s="109" t="s">
        <v>530</v>
      </c>
      <c r="C452" s="89" t="s">
        <v>34</v>
      </c>
      <c r="D452" s="90">
        <f>(D453*D454)-D455</f>
        <v>27.368400000000001</v>
      </c>
      <c r="E452" s="86" t="s">
        <v>488</v>
      </c>
    </row>
    <row r="453" spans="1:5" x14ac:dyDescent="0.2">
      <c r="A453" s="291"/>
      <c r="B453" s="109" t="s">
        <v>439</v>
      </c>
      <c r="C453" s="89" t="s">
        <v>33</v>
      </c>
      <c r="D453" s="91">
        <f>(3*2)+(2.54*2)</f>
        <v>11.08</v>
      </c>
      <c r="E453" s="86" t="s">
        <v>486</v>
      </c>
    </row>
    <row r="454" spans="1:5" x14ac:dyDescent="0.2">
      <c r="A454" s="291"/>
      <c r="B454" s="109" t="s">
        <v>440</v>
      </c>
      <c r="C454" s="89" t="s">
        <v>33</v>
      </c>
      <c r="D454" s="91">
        <v>2.73</v>
      </c>
      <c r="E454" s="86">
        <v>2.73</v>
      </c>
    </row>
    <row r="455" spans="1:5" x14ac:dyDescent="0.2">
      <c r="A455" s="292"/>
      <c r="B455" s="109" t="s">
        <v>445</v>
      </c>
      <c r="C455" s="98" t="s">
        <v>34</v>
      </c>
      <c r="D455" s="91">
        <f>(1.2*1)+(0.8*2.1)</f>
        <v>2.88</v>
      </c>
      <c r="E455" s="86" t="s">
        <v>487</v>
      </c>
    </row>
    <row r="456" spans="1:5" x14ac:dyDescent="0.2">
      <c r="A456" s="290" t="s">
        <v>1020</v>
      </c>
      <c r="B456" s="109" t="s">
        <v>489</v>
      </c>
      <c r="C456" s="89" t="s">
        <v>34</v>
      </c>
      <c r="D456" s="90">
        <f>(D457*D458)-D459</f>
        <v>6.8003999999999989</v>
      </c>
      <c r="E456" s="86" t="s">
        <v>492</v>
      </c>
    </row>
    <row r="457" spans="1:5" x14ac:dyDescent="0.2">
      <c r="A457" s="291"/>
      <c r="B457" s="109" t="s">
        <v>439</v>
      </c>
      <c r="C457" s="89" t="s">
        <v>33</v>
      </c>
      <c r="D457" s="91">
        <v>7.08</v>
      </c>
      <c r="E457" s="86">
        <v>7.08</v>
      </c>
    </row>
    <row r="458" spans="1:5" x14ac:dyDescent="0.2">
      <c r="A458" s="291"/>
      <c r="B458" s="109" t="s">
        <v>440</v>
      </c>
      <c r="C458" s="89" t="s">
        <v>33</v>
      </c>
      <c r="D458" s="91">
        <f>(2.73-1.6)</f>
        <v>1.1299999999999999</v>
      </c>
      <c r="E458" s="86" t="s">
        <v>490</v>
      </c>
    </row>
    <row r="459" spans="1:5" x14ac:dyDescent="0.2">
      <c r="A459" s="292"/>
      <c r="B459" s="109" t="s">
        <v>445</v>
      </c>
      <c r="C459" s="98" t="s">
        <v>34</v>
      </c>
      <c r="D459" s="91">
        <f>(1.2*1)</f>
        <v>1.2</v>
      </c>
      <c r="E459" s="86" t="s">
        <v>491</v>
      </c>
    </row>
    <row r="460" spans="1:5" x14ac:dyDescent="0.2">
      <c r="A460" s="290" t="s">
        <v>1021</v>
      </c>
      <c r="B460" s="109" t="s">
        <v>529</v>
      </c>
      <c r="C460" s="89" t="s">
        <v>34</v>
      </c>
      <c r="D460" s="91">
        <f>(D461*D462)-D463</f>
        <v>19.95</v>
      </c>
      <c r="E460" s="86" t="s">
        <v>494</v>
      </c>
    </row>
    <row r="461" spans="1:5" x14ac:dyDescent="0.2">
      <c r="A461" s="291"/>
      <c r="B461" s="109" t="s">
        <v>439</v>
      </c>
      <c r="C461" s="89" t="s">
        <v>33</v>
      </c>
      <c r="D461" s="90">
        <f>(2*2.5)+(2*1.5)</f>
        <v>8</v>
      </c>
      <c r="E461" s="86" t="s">
        <v>493</v>
      </c>
    </row>
    <row r="462" spans="1:5" x14ac:dyDescent="0.2">
      <c r="A462" s="291"/>
      <c r="B462" s="109" t="s">
        <v>440</v>
      </c>
      <c r="C462" s="89" t="s">
        <v>33</v>
      </c>
      <c r="D462" s="91">
        <v>2.73</v>
      </c>
      <c r="E462" s="86">
        <v>2.73</v>
      </c>
    </row>
    <row r="463" spans="1:5" x14ac:dyDescent="0.2">
      <c r="A463" s="292"/>
      <c r="B463" s="109" t="s">
        <v>445</v>
      </c>
      <c r="C463" s="98" t="s">
        <v>34</v>
      </c>
      <c r="D463" s="91">
        <f>(0.9*2.1)</f>
        <v>1.8900000000000001</v>
      </c>
      <c r="E463" s="86" t="s">
        <v>479</v>
      </c>
    </row>
    <row r="464" spans="1:5" x14ac:dyDescent="0.2">
      <c r="A464" s="290" t="s">
        <v>1022</v>
      </c>
      <c r="B464" s="109" t="s">
        <v>495</v>
      </c>
      <c r="C464" s="89" t="s">
        <v>34</v>
      </c>
      <c r="D464" s="90">
        <f>(D465*D466)-D467</f>
        <v>12.18</v>
      </c>
      <c r="E464" s="86" t="s">
        <v>498</v>
      </c>
    </row>
    <row r="465" spans="1:5" x14ac:dyDescent="0.2">
      <c r="A465" s="291"/>
      <c r="B465" s="109" t="s">
        <v>439</v>
      </c>
      <c r="C465" s="89" t="s">
        <v>33</v>
      </c>
      <c r="D465" s="91">
        <f>(2*1.5)+(2*1)</f>
        <v>5</v>
      </c>
      <c r="E465" s="86" t="s">
        <v>496</v>
      </c>
    </row>
    <row r="466" spans="1:5" x14ac:dyDescent="0.2">
      <c r="A466" s="291"/>
      <c r="B466" s="109" t="s">
        <v>440</v>
      </c>
      <c r="C466" s="89" t="s">
        <v>33</v>
      </c>
      <c r="D466" s="91">
        <v>2.73</v>
      </c>
      <c r="E466" s="86">
        <v>2.73</v>
      </c>
    </row>
    <row r="467" spans="1:5" x14ac:dyDescent="0.2">
      <c r="A467" s="292"/>
      <c r="B467" s="109" t="s">
        <v>445</v>
      </c>
      <c r="C467" s="98" t="s">
        <v>34</v>
      </c>
      <c r="D467" s="91">
        <f>(0.7*2.1)</f>
        <v>1.47</v>
      </c>
      <c r="E467" s="86" t="s">
        <v>497</v>
      </c>
    </row>
    <row r="468" spans="1:5" x14ac:dyDescent="0.2">
      <c r="A468" s="290" t="s">
        <v>1023</v>
      </c>
      <c r="B468" s="109" t="s">
        <v>499</v>
      </c>
      <c r="C468" s="89" t="s">
        <v>34</v>
      </c>
      <c r="D468" s="90">
        <f>(D469*D470)-D471</f>
        <v>30.617999999999995</v>
      </c>
      <c r="E468" s="86" t="s">
        <v>502</v>
      </c>
    </row>
    <row r="469" spans="1:5" x14ac:dyDescent="0.2">
      <c r="A469" s="291"/>
      <c r="B469" s="109" t="s">
        <v>439</v>
      </c>
      <c r="C469" s="89" t="s">
        <v>33</v>
      </c>
      <c r="D469" s="91">
        <f>(2*2.5+2*3.8)</f>
        <v>12.6</v>
      </c>
      <c r="E469" s="86" t="s">
        <v>500</v>
      </c>
    </row>
    <row r="470" spans="1:5" x14ac:dyDescent="0.2">
      <c r="A470" s="291"/>
      <c r="B470" s="109" t="s">
        <v>440</v>
      </c>
      <c r="C470" s="89" t="s">
        <v>33</v>
      </c>
      <c r="D470" s="91">
        <v>2.73</v>
      </c>
      <c r="E470" s="86">
        <v>2.73</v>
      </c>
    </row>
    <row r="471" spans="1:5" x14ac:dyDescent="0.2">
      <c r="A471" s="292"/>
      <c r="B471" s="109" t="s">
        <v>445</v>
      </c>
      <c r="C471" s="98" t="s">
        <v>34</v>
      </c>
      <c r="D471" s="91">
        <f>(2*0.9*2.1)</f>
        <v>3.7800000000000002</v>
      </c>
      <c r="E471" s="86" t="s">
        <v>501</v>
      </c>
    </row>
    <row r="472" spans="1:5" ht="25.5" x14ac:dyDescent="0.2">
      <c r="A472" s="290" t="s">
        <v>1023</v>
      </c>
      <c r="B472" s="121" t="s">
        <v>506</v>
      </c>
      <c r="C472" s="89" t="s">
        <v>34</v>
      </c>
      <c r="D472" s="90">
        <f>(D473*D474)-D475</f>
        <v>26.818999999999999</v>
      </c>
      <c r="E472" s="86" t="s">
        <v>505</v>
      </c>
    </row>
    <row r="473" spans="1:5" x14ac:dyDescent="0.2">
      <c r="A473" s="291"/>
      <c r="B473" s="109" t="s">
        <v>439</v>
      </c>
      <c r="C473" s="89" t="s">
        <v>33</v>
      </c>
      <c r="D473" s="91">
        <f>(2*3.15)+(2*2.5)</f>
        <v>11.3</v>
      </c>
      <c r="E473" s="86" t="s">
        <v>503</v>
      </c>
    </row>
    <row r="474" spans="1:5" x14ac:dyDescent="0.2">
      <c r="A474" s="291"/>
      <c r="B474" s="109" t="s">
        <v>440</v>
      </c>
      <c r="C474" s="89" t="s">
        <v>33</v>
      </c>
      <c r="D474" s="91">
        <v>2.73</v>
      </c>
      <c r="E474" s="86">
        <v>2.73</v>
      </c>
    </row>
    <row r="475" spans="1:5" x14ac:dyDescent="0.2">
      <c r="A475" s="292"/>
      <c r="B475" s="109" t="s">
        <v>445</v>
      </c>
      <c r="C475" s="98" t="s">
        <v>34</v>
      </c>
      <c r="D475" s="91">
        <f>(0.9*2.1)+(0.9*2.1)+(0.5*0.5)</f>
        <v>4.03</v>
      </c>
      <c r="E475" s="86" t="s">
        <v>504</v>
      </c>
    </row>
    <row r="476" spans="1:5" x14ac:dyDescent="0.2">
      <c r="A476" s="290" t="s">
        <v>1014</v>
      </c>
      <c r="B476" s="121" t="s">
        <v>507</v>
      </c>
      <c r="C476" s="89" t="s">
        <v>34</v>
      </c>
      <c r="D476" s="90">
        <f>(D477*D478)-D479</f>
        <v>15.287999999999998</v>
      </c>
      <c r="E476" s="86" t="s">
        <v>509</v>
      </c>
    </row>
    <row r="477" spans="1:5" x14ac:dyDescent="0.2">
      <c r="A477" s="291"/>
      <c r="B477" s="109" t="s">
        <v>439</v>
      </c>
      <c r="C477" s="89" t="s">
        <v>33</v>
      </c>
      <c r="D477" s="91">
        <f>(2)+(4*0.9)</f>
        <v>5.6</v>
      </c>
      <c r="E477" s="85" t="s">
        <v>508</v>
      </c>
    </row>
    <row r="478" spans="1:5" x14ac:dyDescent="0.2">
      <c r="A478" s="291"/>
      <c r="B478" s="109" t="s">
        <v>440</v>
      </c>
      <c r="C478" s="89" t="s">
        <v>33</v>
      </c>
      <c r="D478" s="91">
        <v>2.73</v>
      </c>
      <c r="E478" s="85">
        <v>2.73</v>
      </c>
    </row>
    <row r="479" spans="1:5" x14ac:dyDescent="0.2">
      <c r="A479" s="292"/>
      <c r="B479" s="109" t="s">
        <v>445</v>
      </c>
      <c r="C479" s="98" t="s">
        <v>34</v>
      </c>
      <c r="D479" s="91">
        <v>0</v>
      </c>
      <c r="E479" s="85">
        <v>0</v>
      </c>
    </row>
    <row r="480" spans="1:5" ht="38.25" x14ac:dyDescent="0.2">
      <c r="A480" s="290" t="s">
        <v>1024</v>
      </c>
      <c r="B480" s="121" t="s">
        <v>510</v>
      </c>
      <c r="C480" s="89" t="s">
        <v>34</v>
      </c>
      <c r="D480" s="90">
        <f>(D482*D481)-D483</f>
        <v>174.14299999999997</v>
      </c>
      <c r="E480" s="85" t="s">
        <v>512</v>
      </c>
    </row>
    <row r="481" spans="1:6" x14ac:dyDescent="0.2">
      <c r="A481" s="291"/>
      <c r="B481" s="109" t="s">
        <v>439</v>
      </c>
      <c r="C481" s="89" t="s">
        <v>33</v>
      </c>
      <c r="D481" s="91">
        <v>68.069999999999993</v>
      </c>
      <c r="E481" s="85">
        <v>68.069999999999993</v>
      </c>
    </row>
    <row r="482" spans="1:6" x14ac:dyDescent="0.2">
      <c r="A482" s="291"/>
      <c r="B482" s="109" t="s">
        <v>440</v>
      </c>
      <c r="C482" s="89" t="s">
        <v>33</v>
      </c>
      <c r="D482" s="91">
        <v>2.9</v>
      </c>
      <c r="E482" s="85">
        <v>2.9</v>
      </c>
    </row>
    <row r="483" spans="1:6" ht="25.5" x14ac:dyDescent="0.2">
      <c r="A483" s="292"/>
      <c r="B483" s="109" t="s">
        <v>445</v>
      </c>
      <c r="C483" s="98" t="s">
        <v>34</v>
      </c>
      <c r="D483" s="91">
        <f>(2*0.8*1.8)+(3*0.4*0.4)+(7*1.2*1)+(1*1)+(0.9*2.1)+(2*0.8*2.1)+(1.2*2.1)+(1.3*2.1)</f>
        <v>23.26</v>
      </c>
      <c r="E483" s="85" t="s">
        <v>511</v>
      </c>
    </row>
    <row r="484" spans="1:6" ht="25.5" x14ac:dyDescent="0.2">
      <c r="A484" s="290" t="s">
        <v>1025</v>
      </c>
      <c r="B484" s="121" t="s">
        <v>513</v>
      </c>
      <c r="C484" s="6" t="s">
        <v>34</v>
      </c>
      <c r="D484" s="90">
        <f>(D486*D485)-D487</f>
        <v>31.794</v>
      </c>
      <c r="E484" s="146" t="s">
        <v>515</v>
      </c>
    </row>
    <row r="485" spans="1:6" x14ac:dyDescent="0.2">
      <c r="A485" s="291"/>
      <c r="B485" s="109" t="s">
        <v>439</v>
      </c>
      <c r="C485" s="6" t="s">
        <v>33</v>
      </c>
      <c r="D485" s="91">
        <f>(4*2.1)+(4*0.8)+(2*1.1)</f>
        <v>13.8</v>
      </c>
      <c r="E485" s="85" t="s">
        <v>514</v>
      </c>
    </row>
    <row r="486" spans="1:6" x14ac:dyDescent="0.2">
      <c r="A486" s="291"/>
      <c r="B486" s="109" t="s">
        <v>440</v>
      </c>
      <c r="C486" s="6" t="s">
        <v>33</v>
      </c>
      <c r="D486" s="91">
        <v>2.73</v>
      </c>
      <c r="E486" s="85">
        <v>2.73</v>
      </c>
    </row>
    <row r="487" spans="1:6" x14ac:dyDescent="0.2">
      <c r="A487" s="292"/>
      <c r="B487" s="109" t="s">
        <v>445</v>
      </c>
      <c r="C487" s="6" t="s">
        <v>34</v>
      </c>
      <c r="D487" s="58">
        <f>0.7*2.1*4</f>
        <v>5.88</v>
      </c>
      <c r="E487" s="67" t="s">
        <v>533</v>
      </c>
    </row>
    <row r="488" spans="1:6" ht="25.5" x14ac:dyDescent="0.2">
      <c r="A488" s="10" t="s">
        <v>1026</v>
      </c>
      <c r="B488" s="109" t="s">
        <v>856</v>
      </c>
      <c r="C488" s="6" t="s">
        <v>34</v>
      </c>
      <c r="D488" s="150">
        <f>(0.4*4.22*2+0.2*4.22+0.2*3.82)*5+(0.4*2*1.94+0.2*1.94+2.34*0.2)*5</f>
        <v>36.96</v>
      </c>
      <c r="E488" s="146" t="s">
        <v>857</v>
      </c>
    </row>
    <row r="489" spans="1:6" ht="38.25" x14ac:dyDescent="0.2">
      <c r="A489" s="10" t="s">
        <v>1027</v>
      </c>
      <c r="B489" s="109" t="s">
        <v>418</v>
      </c>
      <c r="C489" s="6" t="s">
        <v>34</v>
      </c>
      <c r="D489" s="90">
        <f>2.852*19.65+2.7*10*1.8+1.2*2*2.5*10+(2.852+2.5)*1.65+((2.7+2.5)*1.65*9/2)+0.15*2.5*10+3.425*1.6*11+0.15*9*2.5</f>
        <v>279.48760000000004</v>
      </c>
      <c r="E489" s="85" t="s">
        <v>553</v>
      </c>
    </row>
    <row r="490" spans="1:6" ht="25.5" x14ac:dyDescent="0.2">
      <c r="A490" s="10" t="s">
        <v>1028</v>
      </c>
      <c r="B490" s="109" t="s">
        <v>419</v>
      </c>
      <c r="C490" s="6" t="s">
        <v>34</v>
      </c>
      <c r="D490" s="90">
        <f>2.925*2.82+2.625*2.8+7.075*2.8*2+2.9*2.8*2.4+1.5*2.4*2</f>
        <v>81.906499999999994</v>
      </c>
      <c r="E490" s="85" t="s">
        <v>554</v>
      </c>
    </row>
    <row r="491" spans="1:6" ht="51" x14ac:dyDescent="0.2">
      <c r="A491" s="10" t="s">
        <v>1029</v>
      </c>
      <c r="B491" s="55" t="s">
        <v>571</v>
      </c>
      <c r="C491" s="6" t="s">
        <v>34</v>
      </c>
      <c r="D491" s="88">
        <f>(0.15+18.2+0.15+15.27+0.15+8.25+0.15+2.19+0.15+2.4+0.15+4.6+1+2.84+0.15+6.1+0.15+11.17)*1*2+(0.15+1.8+0.15+3.08+3.08)*1.6*2+(1.8+0.15+0.15+1.6+0.15+1.8+0.15+1.6)*2.6*2</f>
        <v>211.35199999999998</v>
      </c>
      <c r="E491" s="59" t="s">
        <v>577</v>
      </c>
    </row>
    <row r="492" spans="1:6" x14ac:dyDescent="0.2">
      <c r="A492" s="302"/>
      <c r="B492" s="303"/>
      <c r="C492" s="303"/>
      <c r="D492" s="303"/>
      <c r="E492" s="304"/>
    </row>
    <row r="493" spans="1:6" x14ac:dyDescent="0.2">
      <c r="A493" s="185" t="s">
        <v>192</v>
      </c>
      <c r="B493" s="127" t="str">
        <f>Orçamento!C302</f>
        <v>REVESTIMENTO COM CERÂMICA</v>
      </c>
      <c r="C493" s="186" t="str">
        <f>Orçamento!E302</f>
        <v>M2</v>
      </c>
      <c r="D493" s="88">
        <f>SUM(D495+D499+D503+D507+D511+D515)</f>
        <v>119.8308</v>
      </c>
      <c r="E493" s="62"/>
    </row>
    <row r="494" spans="1:6" x14ac:dyDescent="0.2">
      <c r="A494" s="10"/>
      <c r="B494" s="308" t="s">
        <v>551</v>
      </c>
      <c r="C494" s="309"/>
      <c r="D494" s="309"/>
      <c r="E494" s="310"/>
    </row>
    <row r="495" spans="1:6" x14ac:dyDescent="0.2">
      <c r="A495" s="290" t="s">
        <v>889</v>
      </c>
      <c r="B495" s="55" t="s">
        <v>489</v>
      </c>
      <c r="C495" s="6" t="s">
        <v>34</v>
      </c>
      <c r="D495" s="90">
        <f>(D496*D497)-D498</f>
        <v>10.128000000000002</v>
      </c>
      <c r="E495" s="86" t="s">
        <v>522</v>
      </c>
      <c r="F495" s="11"/>
    </row>
    <row r="496" spans="1:6" x14ac:dyDescent="0.2">
      <c r="A496" s="291"/>
      <c r="B496" s="109" t="s">
        <v>439</v>
      </c>
      <c r="C496" s="98" t="s">
        <v>33</v>
      </c>
      <c r="D496" s="91">
        <v>7.08</v>
      </c>
      <c r="E496" s="86" t="s">
        <v>521</v>
      </c>
      <c r="F496" s="11"/>
    </row>
    <row r="497" spans="1:6" x14ac:dyDescent="0.2">
      <c r="A497" s="291"/>
      <c r="B497" s="109" t="s">
        <v>440</v>
      </c>
      <c r="C497" s="98" t="s">
        <v>33</v>
      </c>
      <c r="D497" s="91">
        <v>1.6</v>
      </c>
      <c r="E497" s="86">
        <v>1.6</v>
      </c>
      <c r="F497" s="11"/>
    </row>
    <row r="498" spans="1:6" x14ac:dyDescent="0.2">
      <c r="A498" s="292"/>
      <c r="B498" s="109" t="s">
        <v>445</v>
      </c>
      <c r="C498" s="98" t="s">
        <v>34</v>
      </c>
      <c r="D498" s="91">
        <v>1.2</v>
      </c>
      <c r="E498" s="86" t="s">
        <v>491</v>
      </c>
      <c r="F498" s="11"/>
    </row>
    <row r="499" spans="1:6" x14ac:dyDescent="0.2">
      <c r="A499" s="290" t="s">
        <v>862</v>
      </c>
      <c r="B499" s="109" t="s">
        <v>518</v>
      </c>
      <c r="C499" s="6" t="s">
        <v>34</v>
      </c>
      <c r="D499" s="90">
        <f>(D500*D501)-D502</f>
        <v>18.687000000000001</v>
      </c>
      <c r="E499" s="86" t="s">
        <v>524</v>
      </c>
      <c r="F499" s="11"/>
    </row>
    <row r="500" spans="1:6" x14ac:dyDescent="0.2">
      <c r="A500" s="291"/>
      <c r="B500" s="109" t="s">
        <v>439</v>
      </c>
      <c r="C500" s="98" t="s">
        <v>33</v>
      </c>
      <c r="D500" s="91">
        <v>7.9</v>
      </c>
      <c r="E500" s="86" t="s">
        <v>523</v>
      </c>
    </row>
    <row r="501" spans="1:6" x14ac:dyDescent="0.2">
      <c r="A501" s="291"/>
      <c r="B501" s="109" t="s">
        <v>440</v>
      </c>
      <c r="C501" s="98" t="s">
        <v>33</v>
      </c>
      <c r="D501" s="91">
        <v>2.73</v>
      </c>
      <c r="E501" s="86">
        <v>2.73</v>
      </c>
    </row>
    <row r="502" spans="1:6" x14ac:dyDescent="0.2">
      <c r="A502" s="292"/>
      <c r="B502" s="109" t="s">
        <v>445</v>
      </c>
      <c r="C502" s="98" t="s">
        <v>34</v>
      </c>
      <c r="D502" s="93">
        <f>(1.2*1)+(0.8*2.1)</f>
        <v>2.88</v>
      </c>
      <c r="E502" s="86" t="s">
        <v>487</v>
      </c>
    </row>
    <row r="503" spans="1:6" x14ac:dyDescent="0.2">
      <c r="A503" s="290" t="s">
        <v>890</v>
      </c>
      <c r="B503" s="109" t="s">
        <v>469</v>
      </c>
      <c r="C503" s="6" t="s">
        <v>34</v>
      </c>
      <c r="D503" s="90">
        <v>2.88</v>
      </c>
      <c r="E503" s="86" t="s">
        <v>525</v>
      </c>
    </row>
    <row r="504" spans="1:6" x14ac:dyDescent="0.2">
      <c r="A504" s="291"/>
      <c r="B504" s="109" t="s">
        <v>439</v>
      </c>
      <c r="C504" s="98" t="s">
        <v>33</v>
      </c>
      <c r="D504" s="91">
        <v>1.8</v>
      </c>
      <c r="E504" s="86">
        <v>1.8</v>
      </c>
    </row>
    <row r="505" spans="1:6" x14ac:dyDescent="0.2">
      <c r="A505" s="291"/>
      <c r="B505" s="109" t="s">
        <v>440</v>
      </c>
      <c r="C505" s="98" t="s">
        <v>33</v>
      </c>
      <c r="D505" s="91">
        <v>1.6</v>
      </c>
      <c r="E505" s="86">
        <v>1.6</v>
      </c>
    </row>
    <row r="506" spans="1:6" x14ac:dyDescent="0.2">
      <c r="A506" s="292"/>
      <c r="B506" s="109" t="s">
        <v>445</v>
      </c>
      <c r="C506" s="98" t="s">
        <v>34</v>
      </c>
      <c r="D506" s="91">
        <v>0</v>
      </c>
      <c r="E506" s="86">
        <v>0</v>
      </c>
    </row>
    <row r="507" spans="1:6" x14ac:dyDescent="0.2">
      <c r="A507" s="290" t="s">
        <v>891</v>
      </c>
      <c r="B507" s="52" t="s">
        <v>446</v>
      </c>
      <c r="C507" s="6" t="s">
        <v>34</v>
      </c>
      <c r="D507" s="90">
        <f>(D508*D509)-D510</f>
        <v>30.709999999999997</v>
      </c>
      <c r="E507" s="145" t="s">
        <v>449</v>
      </c>
    </row>
    <row r="508" spans="1:6" x14ac:dyDescent="0.2">
      <c r="A508" s="291"/>
      <c r="B508" s="52" t="s">
        <v>439</v>
      </c>
      <c r="C508" s="98" t="s">
        <v>33</v>
      </c>
      <c r="D508" s="91">
        <f>(2*4.1)+(2*1.9)</f>
        <v>12</v>
      </c>
      <c r="E508" s="86" t="s">
        <v>447</v>
      </c>
    </row>
    <row r="509" spans="1:6" x14ac:dyDescent="0.2">
      <c r="A509" s="291"/>
      <c r="B509" s="52" t="s">
        <v>440</v>
      </c>
      <c r="C509" s="98" t="s">
        <v>33</v>
      </c>
      <c r="D509" s="91">
        <v>2.73</v>
      </c>
      <c r="E509" s="145">
        <v>2.73</v>
      </c>
    </row>
    <row r="510" spans="1:6" x14ac:dyDescent="0.2">
      <c r="A510" s="292"/>
      <c r="B510" s="52" t="s">
        <v>445</v>
      </c>
      <c r="C510" s="98" t="s">
        <v>34</v>
      </c>
      <c r="D510" s="91">
        <f>(0.9*2.1)+(0.4*0.4)</f>
        <v>2.0500000000000003</v>
      </c>
      <c r="E510" s="145" t="s">
        <v>448</v>
      </c>
    </row>
    <row r="511" spans="1:6" x14ac:dyDescent="0.2">
      <c r="A511" s="290" t="s">
        <v>892</v>
      </c>
      <c r="B511" s="52" t="s">
        <v>450</v>
      </c>
      <c r="C511" s="6" t="s">
        <v>34</v>
      </c>
      <c r="D511" s="90">
        <f>(D512*D513)-D514</f>
        <v>30.709999999999997</v>
      </c>
      <c r="E511" s="145" t="s">
        <v>449</v>
      </c>
    </row>
    <row r="512" spans="1:6" x14ac:dyDescent="0.2">
      <c r="A512" s="291"/>
      <c r="B512" s="52" t="s">
        <v>439</v>
      </c>
      <c r="C512" s="98" t="s">
        <v>33</v>
      </c>
      <c r="D512" s="91">
        <f>(2*4.1)+(2*1.9)</f>
        <v>12</v>
      </c>
      <c r="E512" s="86" t="s">
        <v>447</v>
      </c>
    </row>
    <row r="513" spans="1:5" x14ac:dyDescent="0.2">
      <c r="A513" s="291"/>
      <c r="B513" s="52" t="s">
        <v>440</v>
      </c>
      <c r="C513" s="98" t="s">
        <v>33</v>
      </c>
      <c r="D513" s="91">
        <v>2.73</v>
      </c>
      <c r="E513" s="145">
        <v>2.73</v>
      </c>
    </row>
    <row r="514" spans="1:5" x14ac:dyDescent="0.2">
      <c r="A514" s="292"/>
      <c r="B514" s="52" t="s">
        <v>445</v>
      </c>
      <c r="C514" s="98" t="s">
        <v>34</v>
      </c>
      <c r="D514" s="91">
        <f>(0.9*2.1)+(0.4*0.4)</f>
        <v>2.0500000000000003</v>
      </c>
      <c r="E514" s="145" t="s">
        <v>448</v>
      </c>
    </row>
    <row r="515" spans="1:5" x14ac:dyDescent="0.2">
      <c r="A515" s="290" t="s">
        <v>893</v>
      </c>
      <c r="B515" s="109" t="s">
        <v>519</v>
      </c>
      <c r="C515" s="6" t="s">
        <v>34</v>
      </c>
      <c r="D515" s="90">
        <f>(D516*D517)-D518</f>
        <v>26.715800000000002</v>
      </c>
      <c r="E515" s="62" t="s">
        <v>528</v>
      </c>
    </row>
    <row r="516" spans="1:5" x14ac:dyDescent="0.2">
      <c r="A516" s="291"/>
      <c r="B516" s="52" t="s">
        <v>439</v>
      </c>
      <c r="C516" s="98" t="s">
        <v>33</v>
      </c>
      <c r="D516" s="91">
        <v>10.46</v>
      </c>
      <c r="E516" s="86" t="s">
        <v>526</v>
      </c>
    </row>
    <row r="517" spans="1:5" x14ac:dyDescent="0.2">
      <c r="A517" s="291"/>
      <c r="B517" s="52" t="s">
        <v>440</v>
      </c>
      <c r="C517" s="98" t="s">
        <v>33</v>
      </c>
      <c r="D517" s="91">
        <v>2.73</v>
      </c>
      <c r="E517" s="86">
        <v>2.73</v>
      </c>
    </row>
    <row r="518" spans="1:5" x14ac:dyDescent="0.2">
      <c r="A518" s="292"/>
      <c r="B518" s="52" t="s">
        <v>445</v>
      </c>
      <c r="C518" s="98" t="s">
        <v>34</v>
      </c>
      <c r="D518" s="91">
        <v>1.84</v>
      </c>
      <c r="E518" s="62" t="s">
        <v>527</v>
      </c>
    </row>
    <row r="519" spans="1:5" x14ac:dyDescent="0.2">
      <c r="A519" s="10" t="s">
        <v>193</v>
      </c>
      <c r="B519" s="52" t="str">
        <f>Orçamento!C303</f>
        <v>CHAPISCO COMUM</v>
      </c>
      <c r="C519" s="98" t="str">
        <f>Orçamento!E303</f>
        <v>M2</v>
      </c>
      <c r="D519" s="90">
        <f>SUM(D521+D525+D621+D533+D537+D541+D545+D549+D553+D557+D561+D565+D569+D573+D577+D581+D585+D589+D593+D597+D601+D609+D613+D617+D605+D622+D623+D624)</f>
        <v>1422.1280000000002</v>
      </c>
      <c r="E519" s="62"/>
    </row>
    <row r="520" spans="1:5" x14ac:dyDescent="0.2">
      <c r="A520" s="10"/>
      <c r="B520" s="52" t="s">
        <v>551</v>
      </c>
      <c r="C520" s="98"/>
      <c r="D520" s="90"/>
      <c r="E520" s="62"/>
    </row>
    <row r="521" spans="1:5" ht="25.5" x14ac:dyDescent="0.2">
      <c r="A521" s="290" t="s">
        <v>894</v>
      </c>
      <c r="B521" s="109" t="s">
        <v>444</v>
      </c>
      <c r="C521" s="89" t="s">
        <v>34</v>
      </c>
      <c r="D521" s="90">
        <f>(D522*D523)-D524</f>
        <v>35.635800000000003</v>
      </c>
      <c r="E521" s="145" t="s">
        <v>441</v>
      </c>
    </row>
    <row r="522" spans="1:5" x14ac:dyDescent="0.2">
      <c r="A522" s="291"/>
      <c r="B522" s="109" t="s">
        <v>439</v>
      </c>
      <c r="C522" s="89" t="s">
        <v>33</v>
      </c>
      <c r="D522" s="91">
        <f>(3.3+4.25+2.31+3.95+2.15+1.5)</f>
        <v>17.46</v>
      </c>
      <c r="E522" s="145" t="s">
        <v>443</v>
      </c>
    </row>
    <row r="523" spans="1:5" x14ac:dyDescent="0.2">
      <c r="A523" s="291"/>
      <c r="B523" s="109" t="s">
        <v>440</v>
      </c>
      <c r="C523" s="89" t="s">
        <v>33</v>
      </c>
      <c r="D523" s="91">
        <v>2.73</v>
      </c>
      <c r="E523" s="145">
        <v>2.73</v>
      </c>
    </row>
    <row r="524" spans="1:5" x14ac:dyDescent="0.2">
      <c r="A524" s="292"/>
      <c r="B524" s="109" t="s">
        <v>445</v>
      </c>
      <c r="C524" s="98" t="s">
        <v>34</v>
      </c>
      <c r="D524" s="91">
        <f>(3*(0.8*1.8))+(1.2*1)+(1.3*2.1)+(2*(0.9*2.1))</f>
        <v>12.030000000000001</v>
      </c>
      <c r="E524" s="145" t="s">
        <v>442</v>
      </c>
    </row>
    <row r="525" spans="1:5" x14ac:dyDescent="0.2">
      <c r="A525" s="290" t="s">
        <v>895</v>
      </c>
      <c r="B525" s="52" t="s">
        <v>446</v>
      </c>
      <c r="C525" s="89" t="s">
        <v>34</v>
      </c>
      <c r="D525" s="90">
        <f>(D526*D527)-D528</f>
        <v>30.709999999999997</v>
      </c>
      <c r="E525" s="145" t="s">
        <v>449</v>
      </c>
    </row>
    <row r="526" spans="1:5" x14ac:dyDescent="0.2">
      <c r="A526" s="291"/>
      <c r="B526" s="52" t="s">
        <v>439</v>
      </c>
      <c r="C526" s="89" t="s">
        <v>33</v>
      </c>
      <c r="D526" s="91">
        <f>(2*4.1)+(2*1.9)</f>
        <v>12</v>
      </c>
      <c r="E526" s="86" t="s">
        <v>447</v>
      </c>
    </row>
    <row r="527" spans="1:5" x14ac:dyDescent="0.2">
      <c r="A527" s="291"/>
      <c r="B527" s="52" t="s">
        <v>440</v>
      </c>
      <c r="C527" s="89" t="s">
        <v>33</v>
      </c>
      <c r="D527" s="91">
        <v>2.73</v>
      </c>
      <c r="E527" s="145">
        <v>2.73</v>
      </c>
    </row>
    <row r="528" spans="1:5" x14ac:dyDescent="0.2">
      <c r="A528" s="292"/>
      <c r="B528" s="52" t="s">
        <v>445</v>
      </c>
      <c r="C528" s="98" t="s">
        <v>34</v>
      </c>
      <c r="D528" s="91">
        <f>(0.9*2.1)+(0.4*0.4)</f>
        <v>2.0500000000000003</v>
      </c>
      <c r="E528" s="145" t="s">
        <v>448</v>
      </c>
    </row>
    <row r="529" spans="1:5" x14ac:dyDescent="0.2">
      <c r="A529" s="290" t="s">
        <v>896</v>
      </c>
      <c r="B529" s="52" t="s">
        <v>450</v>
      </c>
      <c r="C529" s="89" t="s">
        <v>34</v>
      </c>
      <c r="D529" s="90">
        <f>(D530*D531)-D532</f>
        <v>30.709999999999997</v>
      </c>
      <c r="E529" s="74"/>
    </row>
    <row r="530" spans="1:5" x14ac:dyDescent="0.2">
      <c r="A530" s="291"/>
      <c r="B530" s="52" t="s">
        <v>439</v>
      </c>
      <c r="C530" s="89" t="s">
        <v>33</v>
      </c>
      <c r="D530" s="91">
        <f>(2*4.1)+(2*1.9)</f>
        <v>12</v>
      </c>
      <c r="E530" s="86" t="s">
        <v>447</v>
      </c>
    </row>
    <row r="531" spans="1:5" x14ac:dyDescent="0.2">
      <c r="A531" s="291"/>
      <c r="B531" s="52" t="s">
        <v>440</v>
      </c>
      <c r="C531" s="89" t="s">
        <v>33</v>
      </c>
      <c r="D531" s="91">
        <v>2.73</v>
      </c>
      <c r="E531" s="145">
        <v>2.73</v>
      </c>
    </row>
    <row r="532" spans="1:5" x14ac:dyDescent="0.2">
      <c r="A532" s="292"/>
      <c r="B532" s="52" t="s">
        <v>445</v>
      </c>
      <c r="C532" s="98" t="s">
        <v>34</v>
      </c>
      <c r="D532" s="91">
        <f>(0.9*2.1)+(0.4*0.4)</f>
        <v>2.0500000000000003</v>
      </c>
      <c r="E532" s="145" t="s">
        <v>448</v>
      </c>
    </row>
    <row r="533" spans="1:5" x14ac:dyDescent="0.2">
      <c r="A533" s="290" t="s">
        <v>897</v>
      </c>
      <c r="B533" s="109" t="s">
        <v>454</v>
      </c>
      <c r="C533" s="89" t="s">
        <v>34</v>
      </c>
      <c r="D533" s="90">
        <f>D534*D535-D536</f>
        <v>33.164400000000001</v>
      </c>
      <c r="E533" s="86" t="s">
        <v>453</v>
      </c>
    </row>
    <row r="534" spans="1:5" x14ac:dyDescent="0.2">
      <c r="A534" s="291"/>
      <c r="B534" s="109" t="s">
        <v>439</v>
      </c>
      <c r="C534" s="89" t="s">
        <v>33</v>
      </c>
      <c r="D534" s="91">
        <f>(2*2.54)+(4.1*2)</f>
        <v>13.28</v>
      </c>
      <c r="E534" s="86" t="s">
        <v>451</v>
      </c>
    </row>
    <row r="535" spans="1:5" x14ac:dyDescent="0.2">
      <c r="A535" s="291"/>
      <c r="B535" s="109" t="s">
        <v>440</v>
      </c>
      <c r="C535" s="89" t="s">
        <v>33</v>
      </c>
      <c r="D535" s="91">
        <v>2.73</v>
      </c>
      <c r="E535" s="86">
        <v>2.73</v>
      </c>
    </row>
    <row r="536" spans="1:5" x14ac:dyDescent="0.2">
      <c r="A536" s="292"/>
      <c r="B536" s="109" t="s">
        <v>445</v>
      </c>
      <c r="C536" s="98" t="s">
        <v>34</v>
      </c>
      <c r="D536" s="91">
        <f>(1.2*1)+(0.9*2.1)</f>
        <v>3.09</v>
      </c>
      <c r="E536" s="86" t="s">
        <v>452</v>
      </c>
    </row>
    <row r="537" spans="1:5" x14ac:dyDescent="0.2">
      <c r="A537" s="290" t="s">
        <v>898</v>
      </c>
      <c r="B537" s="109" t="s">
        <v>455</v>
      </c>
      <c r="C537" s="89" t="s">
        <v>34</v>
      </c>
      <c r="D537" s="90">
        <f>D538*D539-D540</f>
        <v>33.164400000000001</v>
      </c>
      <c r="E537" s="86" t="s">
        <v>453</v>
      </c>
    </row>
    <row r="538" spans="1:5" x14ac:dyDescent="0.2">
      <c r="A538" s="291"/>
      <c r="B538" s="109" t="s">
        <v>439</v>
      </c>
      <c r="C538" s="89" t="s">
        <v>33</v>
      </c>
      <c r="D538" s="91">
        <f>(2*2.54)+(4.1*2)</f>
        <v>13.28</v>
      </c>
      <c r="E538" s="86" t="s">
        <v>451</v>
      </c>
    </row>
    <row r="539" spans="1:5" x14ac:dyDescent="0.2">
      <c r="A539" s="291"/>
      <c r="B539" s="109" t="s">
        <v>440</v>
      </c>
      <c r="C539" s="89" t="s">
        <v>33</v>
      </c>
      <c r="D539" s="91">
        <v>2.73</v>
      </c>
      <c r="E539" s="86">
        <v>2.73</v>
      </c>
    </row>
    <row r="540" spans="1:5" x14ac:dyDescent="0.2">
      <c r="A540" s="292"/>
      <c r="B540" s="109" t="s">
        <v>445</v>
      </c>
      <c r="C540" s="98" t="s">
        <v>34</v>
      </c>
      <c r="D540" s="91">
        <f>(1.2*1)+(0.9*2.1)</f>
        <v>3.09</v>
      </c>
      <c r="E540" s="86" t="s">
        <v>452</v>
      </c>
    </row>
    <row r="541" spans="1:5" ht="25.5" x14ac:dyDescent="0.2">
      <c r="A541" s="290" t="s">
        <v>899</v>
      </c>
      <c r="B541" s="109" t="s">
        <v>459</v>
      </c>
      <c r="C541" s="89" t="s">
        <v>34</v>
      </c>
      <c r="D541" s="90">
        <f>(D542*D543)-D544</f>
        <v>87.775800000000004</v>
      </c>
      <c r="E541" s="86" t="s">
        <v>458</v>
      </c>
    </row>
    <row r="542" spans="1:5" x14ac:dyDescent="0.2">
      <c r="A542" s="291"/>
      <c r="B542" s="109" t="s">
        <v>439</v>
      </c>
      <c r="C542" s="89" t="s">
        <v>33</v>
      </c>
      <c r="D542" s="91">
        <f>39.91+1.2+1.35</f>
        <v>42.46</v>
      </c>
      <c r="E542" s="86" t="s">
        <v>456</v>
      </c>
    </row>
    <row r="543" spans="1:5" x14ac:dyDescent="0.2">
      <c r="A543" s="291"/>
      <c r="B543" s="109" t="s">
        <v>440</v>
      </c>
      <c r="C543" s="89" t="s">
        <v>33</v>
      </c>
      <c r="D543" s="91">
        <v>2.73</v>
      </c>
      <c r="E543" s="86">
        <v>2.73</v>
      </c>
    </row>
    <row r="544" spans="1:5" ht="25.5" x14ac:dyDescent="0.2">
      <c r="A544" s="292"/>
      <c r="B544" s="109" t="s">
        <v>445</v>
      </c>
      <c r="C544" s="98" t="s">
        <v>34</v>
      </c>
      <c r="D544" s="91">
        <f>(7*0.9*2.1)+(1.1*2.1)+(4*0.8*2.1)+(1.2*1.8)+(1.2*1)+(1.2*2.1)</f>
        <v>28.14</v>
      </c>
      <c r="E544" s="86" t="s">
        <v>457</v>
      </c>
    </row>
    <row r="545" spans="1:5" x14ac:dyDescent="0.2">
      <c r="A545" s="290" t="s">
        <v>900</v>
      </c>
      <c r="B545" s="109" t="s">
        <v>460</v>
      </c>
      <c r="C545" s="89" t="s">
        <v>34</v>
      </c>
      <c r="D545" s="90">
        <f>(D546*D547)-D548</f>
        <v>26.257999999999999</v>
      </c>
      <c r="E545" s="86" t="s">
        <v>463</v>
      </c>
    </row>
    <row r="546" spans="1:5" x14ac:dyDescent="0.2">
      <c r="A546" s="291"/>
      <c r="B546" s="109" t="s">
        <v>439</v>
      </c>
      <c r="C546" s="89" t="s">
        <v>33</v>
      </c>
      <c r="D546" s="91">
        <f>(2*4.1)+(2*1.2)</f>
        <v>10.6</v>
      </c>
      <c r="E546" s="86" t="s">
        <v>461</v>
      </c>
    </row>
    <row r="547" spans="1:5" x14ac:dyDescent="0.2">
      <c r="A547" s="291"/>
      <c r="B547" s="109" t="s">
        <v>440</v>
      </c>
      <c r="C547" s="89" t="s">
        <v>33</v>
      </c>
      <c r="D547" s="91">
        <v>2.73</v>
      </c>
      <c r="E547" s="86">
        <v>2.73</v>
      </c>
    </row>
    <row r="548" spans="1:5" x14ac:dyDescent="0.2">
      <c r="A548" s="292"/>
      <c r="B548" s="109" t="s">
        <v>445</v>
      </c>
      <c r="C548" s="98" t="s">
        <v>34</v>
      </c>
      <c r="D548" s="91">
        <f>(1*1)+(0.8*2.1)</f>
        <v>2.68</v>
      </c>
      <c r="E548" s="86" t="s">
        <v>462</v>
      </c>
    </row>
    <row r="549" spans="1:5" x14ac:dyDescent="0.2">
      <c r="A549" s="290" t="s">
        <v>901</v>
      </c>
      <c r="B549" s="109" t="s">
        <v>464</v>
      </c>
      <c r="C549" s="89" t="s">
        <v>34</v>
      </c>
      <c r="D549" s="90">
        <f>(D550*D551)-D552</f>
        <v>36.112799999999993</v>
      </c>
      <c r="E549" s="86" t="s">
        <v>467</v>
      </c>
    </row>
    <row r="550" spans="1:5" x14ac:dyDescent="0.2">
      <c r="A550" s="291"/>
      <c r="B550" s="109" t="s">
        <v>439</v>
      </c>
      <c r="C550" s="89" t="s">
        <v>33</v>
      </c>
      <c r="D550" s="91">
        <f>(2*4.1)+(2*3.08)</f>
        <v>14.36</v>
      </c>
      <c r="E550" s="86" t="s">
        <v>465</v>
      </c>
    </row>
    <row r="551" spans="1:5" x14ac:dyDescent="0.2">
      <c r="A551" s="291"/>
      <c r="B551" s="109" t="s">
        <v>440</v>
      </c>
      <c r="C551" s="89" t="s">
        <v>33</v>
      </c>
      <c r="D551" s="91">
        <v>2.73</v>
      </c>
      <c r="E551" s="86">
        <v>2.73</v>
      </c>
    </row>
    <row r="552" spans="1:5" x14ac:dyDescent="0.2">
      <c r="A552" s="292"/>
      <c r="B552" s="109" t="s">
        <v>445</v>
      </c>
      <c r="C552" s="98" t="s">
        <v>34</v>
      </c>
      <c r="D552" s="91">
        <f>(0.9*2.1)+(1.2*1)</f>
        <v>3.09</v>
      </c>
      <c r="E552" s="86" t="s">
        <v>466</v>
      </c>
    </row>
    <row r="553" spans="1:5" x14ac:dyDescent="0.2">
      <c r="A553" s="290" t="s">
        <v>902</v>
      </c>
      <c r="B553" s="109" t="s">
        <v>468</v>
      </c>
      <c r="C553" s="89" t="s">
        <v>34</v>
      </c>
      <c r="D553" s="90">
        <f>(D554*D555)-D556</f>
        <v>36.112799999999993</v>
      </c>
      <c r="E553" s="86" t="s">
        <v>467</v>
      </c>
    </row>
    <row r="554" spans="1:5" x14ac:dyDescent="0.2">
      <c r="A554" s="291"/>
      <c r="B554" s="109" t="s">
        <v>439</v>
      </c>
      <c r="C554" s="89" t="s">
        <v>33</v>
      </c>
      <c r="D554" s="91">
        <f>(2*4.1)+(2*3.08)</f>
        <v>14.36</v>
      </c>
      <c r="E554" s="86" t="s">
        <v>465</v>
      </c>
    </row>
    <row r="555" spans="1:5" x14ac:dyDescent="0.2">
      <c r="A555" s="291"/>
      <c r="B555" s="109" t="s">
        <v>440</v>
      </c>
      <c r="C555" s="89" t="s">
        <v>33</v>
      </c>
      <c r="D555" s="91">
        <v>2.73</v>
      </c>
      <c r="E555" s="86">
        <v>2.73</v>
      </c>
    </row>
    <row r="556" spans="1:5" x14ac:dyDescent="0.2">
      <c r="A556" s="292"/>
      <c r="B556" s="109" t="s">
        <v>445</v>
      </c>
      <c r="C556" s="98" t="s">
        <v>34</v>
      </c>
      <c r="D556" s="91">
        <f>(0.9*2.1)+(1.2*1)</f>
        <v>3.09</v>
      </c>
      <c r="E556" s="86" t="s">
        <v>466</v>
      </c>
    </row>
    <row r="557" spans="1:5" x14ac:dyDescent="0.2">
      <c r="A557" s="290" t="s">
        <v>903</v>
      </c>
      <c r="B557" s="121" t="s">
        <v>518</v>
      </c>
      <c r="C557" s="89" t="s">
        <v>34</v>
      </c>
      <c r="D557" s="90">
        <f>(D558*D559)-D560</f>
        <v>18.687000000000001</v>
      </c>
      <c r="E557" s="86" t="s">
        <v>524</v>
      </c>
    </row>
    <row r="558" spans="1:5" x14ac:dyDescent="0.2">
      <c r="A558" s="291"/>
      <c r="B558" s="109" t="s">
        <v>439</v>
      </c>
      <c r="C558" s="89" t="s">
        <v>33</v>
      </c>
      <c r="D558" s="91">
        <f>(2*2.45)+(2*1.5)</f>
        <v>7.9</v>
      </c>
      <c r="E558" s="86" t="s">
        <v>523</v>
      </c>
    </row>
    <row r="559" spans="1:5" x14ac:dyDescent="0.2">
      <c r="A559" s="291"/>
      <c r="B559" s="109" t="s">
        <v>440</v>
      </c>
      <c r="C559" s="89" t="s">
        <v>33</v>
      </c>
      <c r="D559" s="91">
        <v>2.73</v>
      </c>
      <c r="E559" s="86">
        <v>2.73</v>
      </c>
    </row>
    <row r="560" spans="1:5" x14ac:dyDescent="0.2">
      <c r="A560" s="292"/>
      <c r="B560" s="109" t="s">
        <v>445</v>
      </c>
      <c r="C560" s="98" t="s">
        <v>34</v>
      </c>
      <c r="D560" s="93">
        <f>(0.8*2.1)+(1.2*1)</f>
        <v>2.88</v>
      </c>
      <c r="E560" s="86" t="s">
        <v>531</v>
      </c>
    </row>
    <row r="561" spans="1:5" x14ac:dyDescent="0.2">
      <c r="A561" s="290" t="s">
        <v>904</v>
      </c>
      <c r="B561" s="109" t="s">
        <v>438</v>
      </c>
      <c r="C561" s="89" t="s">
        <v>34</v>
      </c>
      <c r="D561" s="90">
        <f>(D562*D563)-D564</f>
        <v>14.7</v>
      </c>
      <c r="E561" s="86" t="s">
        <v>473</v>
      </c>
    </row>
    <row r="562" spans="1:5" x14ac:dyDescent="0.2">
      <c r="A562" s="291"/>
      <c r="B562" s="109" t="s">
        <v>439</v>
      </c>
      <c r="C562" s="89" t="s">
        <v>33</v>
      </c>
      <c r="D562" s="91">
        <f>(4*1.5)</f>
        <v>6</v>
      </c>
      <c r="E562" s="86" t="s">
        <v>474</v>
      </c>
    </row>
    <row r="563" spans="1:5" x14ac:dyDescent="0.2">
      <c r="A563" s="291"/>
      <c r="B563" s="109" t="s">
        <v>440</v>
      </c>
      <c r="C563" s="89" t="s">
        <v>33</v>
      </c>
      <c r="D563" s="91">
        <v>2.73</v>
      </c>
      <c r="E563" s="86">
        <v>2.73</v>
      </c>
    </row>
    <row r="564" spans="1:5" x14ac:dyDescent="0.2">
      <c r="A564" s="292"/>
      <c r="B564" s="109" t="s">
        <v>445</v>
      </c>
      <c r="C564" s="98" t="s">
        <v>34</v>
      </c>
      <c r="D564" s="91">
        <f>0.8*2.1</f>
        <v>1.6800000000000002</v>
      </c>
      <c r="E564" s="86" t="s">
        <v>475</v>
      </c>
    </row>
    <row r="565" spans="1:5" x14ac:dyDescent="0.2">
      <c r="A565" s="290" t="s">
        <v>905</v>
      </c>
      <c r="B565" s="109" t="s">
        <v>469</v>
      </c>
      <c r="C565" s="89" t="s">
        <v>34</v>
      </c>
      <c r="D565" s="90">
        <f>(D566*D567)-D568</f>
        <v>12.6525</v>
      </c>
      <c r="E565" s="86" t="s">
        <v>476</v>
      </c>
    </row>
    <row r="566" spans="1:5" x14ac:dyDescent="0.2">
      <c r="A566" s="291"/>
      <c r="B566" s="109" t="s">
        <v>439</v>
      </c>
      <c r="C566" s="89" t="s">
        <v>33</v>
      </c>
      <c r="D566" s="91">
        <f>(4.25+1)</f>
        <v>5.25</v>
      </c>
      <c r="E566" s="86" t="s">
        <v>477</v>
      </c>
    </row>
    <row r="567" spans="1:5" x14ac:dyDescent="0.2">
      <c r="A567" s="291"/>
      <c r="B567" s="109" t="s">
        <v>440</v>
      </c>
      <c r="C567" s="89" t="s">
        <v>33</v>
      </c>
      <c r="D567" s="91">
        <v>2.73</v>
      </c>
      <c r="E567" s="86">
        <v>2.73</v>
      </c>
    </row>
    <row r="568" spans="1:5" x14ac:dyDescent="0.2">
      <c r="A568" s="292"/>
      <c r="B568" s="109" t="s">
        <v>445</v>
      </c>
      <c r="C568" s="98" t="s">
        <v>34</v>
      </c>
      <c r="D568" s="91">
        <f>0.8*2.1</f>
        <v>1.6800000000000002</v>
      </c>
      <c r="E568" s="86" t="s">
        <v>475</v>
      </c>
    </row>
    <row r="569" spans="1:5" x14ac:dyDescent="0.2">
      <c r="A569" s="290" t="s">
        <v>906</v>
      </c>
      <c r="B569" s="109" t="s">
        <v>470</v>
      </c>
      <c r="C569" s="89" t="s">
        <v>34</v>
      </c>
      <c r="D569" s="90">
        <f>(D570*D571)-D572</f>
        <v>21.724499999999999</v>
      </c>
      <c r="E569" s="86" t="s">
        <v>482</v>
      </c>
    </row>
    <row r="570" spans="1:5" x14ac:dyDescent="0.2">
      <c r="A570" s="291"/>
      <c r="B570" s="109" t="s">
        <v>439</v>
      </c>
      <c r="C570" s="89" t="s">
        <v>33</v>
      </c>
      <c r="D570" s="91">
        <f>(2.05*2)+(2.65)+(1.9)</f>
        <v>8.65</v>
      </c>
      <c r="E570" s="86" t="s">
        <v>478</v>
      </c>
    </row>
    <row r="571" spans="1:5" x14ac:dyDescent="0.2">
      <c r="A571" s="291"/>
      <c r="B571" s="109" t="s">
        <v>440</v>
      </c>
      <c r="C571" s="89" t="s">
        <v>33</v>
      </c>
      <c r="D571" s="91">
        <v>2.73</v>
      </c>
      <c r="E571" s="86">
        <v>2.73</v>
      </c>
    </row>
    <row r="572" spans="1:5" x14ac:dyDescent="0.2">
      <c r="A572" s="292"/>
      <c r="B572" s="109" t="s">
        <v>445</v>
      </c>
      <c r="C572" s="98" t="s">
        <v>34</v>
      </c>
      <c r="D572" s="91">
        <f>(0.9*2.1)</f>
        <v>1.8900000000000001</v>
      </c>
      <c r="E572" s="86" t="s">
        <v>479</v>
      </c>
    </row>
    <row r="573" spans="1:5" x14ac:dyDescent="0.2">
      <c r="A573" s="290" t="s">
        <v>907</v>
      </c>
      <c r="B573" s="109" t="s">
        <v>471</v>
      </c>
      <c r="C573" s="89" t="s">
        <v>34</v>
      </c>
      <c r="D573" s="90">
        <f>(D574*D575)-D576</f>
        <v>23.3645</v>
      </c>
      <c r="E573" s="86" t="s">
        <v>481</v>
      </c>
    </row>
    <row r="574" spans="1:5" x14ac:dyDescent="0.2">
      <c r="A574" s="291"/>
      <c r="B574" s="109" t="s">
        <v>439</v>
      </c>
      <c r="C574" s="89" t="s">
        <v>33</v>
      </c>
      <c r="D574" s="91">
        <f>(2.05*2)+(2.65)+(1.9)</f>
        <v>8.65</v>
      </c>
      <c r="E574" s="86" t="s">
        <v>478</v>
      </c>
    </row>
    <row r="575" spans="1:5" x14ac:dyDescent="0.2">
      <c r="A575" s="291"/>
      <c r="B575" s="109" t="s">
        <v>440</v>
      </c>
      <c r="C575" s="89" t="s">
        <v>33</v>
      </c>
      <c r="D575" s="91">
        <v>2.73</v>
      </c>
      <c r="E575" s="86">
        <v>2.73</v>
      </c>
    </row>
    <row r="576" spans="1:5" x14ac:dyDescent="0.2">
      <c r="A576" s="292"/>
      <c r="B576" s="109" t="s">
        <v>445</v>
      </c>
      <c r="C576" s="98" t="s">
        <v>34</v>
      </c>
      <c r="D576" s="91">
        <f>0.5*0.5</f>
        <v>0.25</v>
      </c>
      <c r="E576" s="86" t="s">
        <v>480</v>
      </c>
    </row>
    <row r="577" spans="1:5" x14ac:dyDescent="0.2">
      <c r="A577" s="290" t="s">
        <v>908</v>
      </c>
      <c r="B577" s="109" t="s">
        <v>472</v>
      </c>
      <c r="C577" s="89" t="s">
        <v>34</v>
      </c>
      <c r="D577" s="90">
        <f>(D578*D579)-D580</f>
        <v>19.354799999999997</v>
      </c>
      <c r="E577" s="86" t="s">
        <v>485</v>
      </c>
    </row>
    <row r="578" spans="1:5" x14ac:dyDescent="0.2">
      <c r="A578" s="291"/>
      <c r="B578" s="109" t="s">
        <v>439</v>
      </c>
      <c r="C578" s="89" t="s">
        <v>33</v>
      </c>
      <c r="D578" s="91">
        <f>(3.08*2)+(1.3*2)</f>
        <v>8.76</v>
      </c>
      <c r="E578" s="86" t="s">
        <v>483</v>
      </c>
    </row>
    <row r="579" spans="1:5" x14ac:dyDescent="0.2">
      <c r="A579" s="291"/>
      <c r="B579" s="109" t="s">
        <v>440</v>
      </c>
      <c r="C579" s="89" t="s">
        <v>33</v>
      </c>
      <c r="D579" s="91">
        <v>2.73</v>
      </c>
      <c r="E579" s="86">
        <v>2.73</v>
      </c>
    </row>
    <row r="580" spans="1:5" x14ac:dyDescent="0.2">
      <c r="A580" s="292"/>
      <c r="B580" s="109" t="s">
        <v>445</v>
      </c>
      <c r="C580" s="98" t="s">
        <v>34</v>
      </c>
      <c r="D580" s="91">
        <f>(2*1.2*1)+(1.2*1.8)</f>
        <v>4.5600000000000005</v>
      </c>
      <c r="E580" s="86" t="s">
        <v>484</v>
      </c>
    </row>
    <row r="581" spans="1:5" x14ac:dyDescent="0.2">
      <c r="A581" s="290" t="s">
        <v>910</v>
      </c>
      <c r="B581" s="109" t="s">
        <v>530</v>
      </c>
      <c r="C581" s="89" t="s">
        <v>34</v>
      </c>
      <c r="D581" s="90">
        <f>(D582*D583)-D584</f>
        <v>27.368400000000001</v>
      </c>
      <c r="E581" s="86" t="s">
        <v>488</v>
      </c>
    </row>
    <row r="582" spans="1:5" x14ac:dyDescent="0.2">
      <c r="A582" s="291"/>
      <c r="B582" s="109" t="s">
        <v>439</v>
      </c>
      <c r="C582" s="89" t="s">
        <v>33</v>
      </c>
      <c r="D582" s="91">
        <f>(3*2)+(2.54*2)</f>
        <v>11.08</v>
      </c>
      <c r="E582" s="86" t="s">
        <v>486</v>
      </c>
    </row>
    <row r="583" spans="1:5" x14ac:dyDescent="0.2">
      <c r="A583" s="291"/>
      <c r="B583" s="109" t="s">
        <v>440</v>
      </c>
      <c r="C583" s="89" t="s">
        <v>33</v>
      </c>
      <c r="D583" s="91">
        <v>2.73</v>
      </c>
      <c r="E583" s="86">
        <v>2.73</v>
      </c>
    </row>
    <row r="584" spans="1:5" x14ac:dyDescent="0.2">
      <c r="A584" s="292"/>
      <c r="B584" s="109" t="s">
        <v>445</v>
      </c>
      <c r="C584" s="98" t="s">
        <v>34</v>
      </c>
      <c r="D584" s="91">
        <f>(1.2*1)+(0.8*2.1)</f>
        <v>2.88</v>
      </c>
      <c r="E584" s="86" t="s">
        <v>487</v>
      </c>
    </row>
    <row r="585" spans="1:5" x14ac:dyDescent="0.2">
      <c r="A585" s="290" t="s">
        <v>911</v>
      </c>
      <c r="B585" s="121" t="s">
        <v>489</v>
      </c>
      <c r="C585" s="89" t="s">
        <v>34</v>
      </c>
      <c r="D585" s="90">
        <f>(D586*D587)-D588</f>
        <v>18.128399999999999</v>
      </c>
      <c r="E585" s="86" t="s">
        <v>532</v>
      </c>
    </row>
    <row r="586" spans="1:5" x14ac:dyDescent="0.2">
      <c r="A586" s="291"/>
      <c r="B586" s="109" t="s">
        <v>439</v>
      </c>
      <c r="C586" s="89" t="s">
        <v>33</v>
      </c>
      <c r="D586" s="91">
        <v>7.08</v>
      </c>
      <c r="E586" s="86">
        <v>7.08</v>
      </c>
    </row>
    <row r="587" spans="1:5" x14ac:dyDescent="0.2">
      <c r="A587" s="291"/>
      <c r="B587" s="109" t="s">
        <v>440</v>
      </c>
      <c r="C587" s="89" t="s">
        <v>33</v>
      </c>
      <c r="D587" s="91">
        <v>2.73</v>
      </c>
      <c r="E587" s="86">
        <v>2.73</v>
      </c>
    </row>
    <row r="588" spans="1:5" x14ac:dyDescent="0.2">
      <c r="A588" s="292"/>
      <c r="B588" s="109" t="s">
        <v>445</v>
      </c>
      <c r="C588" s="98" t="s">
        <v>34</v>
      </c>
      <c r="D588" s="91">
        <f>(1.2*1)</f>
        <v>1.2</v>
      </c>
      <c r="E588" s="86" t="s">
        <v>491</v>
      </c>
    </row>
    <row r="589" spans="1:5" x14ac:dyDescent="0.2">
      <c r="A589" s="290" t="s">
        <v>912</v>
      </c>
      <c r="B589" s="121" t="s">
        <v>519</v>
      </c>
      <c r="C589" s="89" t="s">
        <v>34</v>
      </c>
      <c r="D589" s="149">
        <f>(D590*D591)-D592</f>
        <v>26.715800000000002</v>
      </c>
      <c r="E589" s="62" t="s">
        <v>528</v>
      </c>
    </row>
    <row r="590" spans="1:5" x14ac:dyDescent="0.2">
      <c r="A590" s="291"/>
      <c r="B590" s="122" t="s">
        <v>439</v>
      </c>
      <c r="C590" s="89" t="s">
        <v>33</v>
      </c>
      <c r="D590" s="93">
        <v>10.46</v>
      </c>
      <c r="E590" s="147" t="s">
        <v>526</v>
      </c>
    </row>
    <row r="591" spans="1:5" x14ac:dyDescent="0.2">
      <c r="A591" s="291"/>
      <c r="B591" s="122" t="s">
        <v>440</v>
      </c>
      <c r="C591" s="89" t="s">
        <v>33</v>
      </c>
      <c r="D591" s="93">
        <v>2.73</v>
      </c>
      <c r="E591" s="147">
        <v>2.73</v>
      </c>
    </row>
    <row r="592" spans="1:5" x14ac:dyDescent="0.2">
      <c r="A592" s="292"/>
      <c r="B592" s="122" t="s">
        <v>445</v>
      </c>
      <c r="C592" s="98" t="s">
        <v>34</v>
      </c>
      <c r="D592" s="93">
        <v>1.84</v>
      </c>
      <c r="E592" s="62" t="s">
        <v>527</v>
      </c>
    </row>
    <row r="593" spans="1:5" x14ac:dyDescent="0.2">
      <c r="A593" s="290" t="s">
        <v>913</v>
      </c>
      <c r="B593" s="109" t="s">
        <v>529</v>
      </c>
      <c r="C593" s="89" t="s">
        <v>34</v>
      </c>
      <c r="D593" s="90">
        <f>(D594*D595)-D596</f>
        <v>19.95</v>
      </c>
      <c r="E593" s="86" t="s">
        <v>494</v>
      </c>
    </row>
    <row r="594" spans="1:5" x14ac:dyDescent="0.2">
      <c r="A594" s="291"/>
      <c r="B594" s="109" t="s">
        <v>439</v>
      </c>
      <c r="C594" s="89" t="s">
        <v>33</v>
      </c>
      <c r="D594" s="91">
        <f>(2*2.5)+(2*1.5)</f>
        <v>8</v>
      </c>
      <c r="E594" s="86" t="s">
        <v>493</v>
      </c>
    </row>
    <row r="595" spans="1:5" x14ac:dyDescent="0.2">
      <c r="A595" s="291"/>
      <c r="B595" s="109" t="s">
        <v>440</v>
      </c>
      <c r="C595" s="89" t="s">
        <v>33</v>
      </c>
      <c r="D595" s="91">
        <v>2.73</v>
      </c>
      <c r="E595" s="86">
        <v>2.73</v>
      </c>
    </row>
    <row r="596" spans="1:5" x14ac:dyDescent="0.2">
      <c r="A596" s="292"/>
      <c r="B596" s="109" t="s">
        <v>445</v>
      </c>
      <c r="C596" s="98" t="s">
        <v>34</v>
      </c>
      <c r="D596" s="91">
        <f>(0.9*2.1)</f>
        <v>1.8900000000000001</v>
      </c>
      <c r="E596" s="86" t="s">
        <v>479</v>
      </c>
    </row>
    <row r="597" spans="1:5" x14ac:dyDescent="0.2">
      <c r="A597" s="290" t="s">
        <v>914</v>
      </c>
      <c r="B597" s="109" t="s">
        <v>495</v>
      </c>
      <c r="C597" s="89" t="s">
        <v>34</v>
      </c>
      <c r="D597" s="90">
        <f>(D598*D599)-D600</f>
        <v>12.18</v>
      </c>
      <c r="E597" s="86" t="s">
        <v>498</v>
      </c>
    </row>
    <row r="598" spans="1:5" x14ac:dyDescent="0.2">
      <c r="A598" s="291"/>
      <c r="B598" s="109" t="s">
        <v>439</v>
      </c>
      <c r="C598" s="89" t="s">
        <v>33</v>
      </c>
      <c r="D598" s="91">
        <f>(2*1.5)+(2*1)</f>
        <v>5</v>
      </c>
      <c r="E598" s="86" t="s">
        <v>496</v>
      </c>
    </row>
    <row r="599" spans="1:5" x14ac:dyDescent="0.2">
      <c r="A599" s="291"/>
      <c r="B599" s="109" t="s">
        <v>440</v>
      </c>
      <c r="C599" s="89" t="s">
        <v>33</v>
      </c>
      <c r="D599" s="91">
        <v>2.73</v>
      </c>
      <c r="E599" s="86">
        <v>2.73</v>
      </c>
    </row>
    <row r="600" spans="1:5" x14ac:dyDescent="0.2">
      <c r="A600" s="292"/>
      <c r="B600" s="109" t="s">
        <v>445</v>
      </c>
      <c r="C600" s="98" t="s">
        <v>34</v>
      </c>
      <c r="D600" s="91">
        <f>(0.7*2.1)</f>
        <v>1.47</v>
      </c>
      <c r="E600" s="86" t="s">
        <v>497</v>
      </c>
    </row>
    <row r="601" spans="1:5" x14ac:dyDescent="0.2">
      <c r="A601" s="290" t="s">
        <v>916</v>
      </c>
      <c r="B601" s="109" t="s">
        <v>499</v>
      </c>
      <c r="C601" s="89" t="s">
        <v>34</v>
      </c>
      <c r="D601" s="90">
        <f>(D602*D603)-D604</f>
        <v>30.617999999999995</v>
      </c>
      <c r="E601" s="86" t="s">
        <v>502</v>
      </c>
    </row>
    <row r="602" spans="1:5" x14ac:dyDescent="0.2">
      <c r="A602" s="291"/>
      <c r="B602" s="109" t="s">
        <v>439</v>
      </c>
      <c r="C602" s="89" t="s">
        <v>33</v>
      </c>
      <c r="D602" s="91">
        <f>(2*2.5+2*3.8)</f>
        <v>12.6</v>
      </c>
      <c r="E602" s="86" t="s">
        <v>500</v>
      </c>
    </row>
    <row r="603" spans="1:5" x14ac:dyDescent="0.2">
      <c r="A603" s="291"/>
      <c r="B603" s="109" t="s">
        <v>440</v>
      </c>
      <c r="C603" s="89" t="s">
        <v>33</v>
      </c>
      <c r="D603" s="91">
        <v>2.73</v>
      </c>
      <c r="E603" s="86">
        <v>2.73</v>
      </c>
    </row>
    <row r="604" spans="1:5" x14ac:dyDescent="0.2">
      <c r="A604" s="292"/>
      <c r="B604" s="109" t="s">
        <v>445</v>
      </c>
      <c r="C604" s="98" t="s">
        <v>34</v>
      </c>
      <c r="D604" s="91">
        <f>(2*0.9*2.1)</f>
        <v>3.7800000000000002</v>
      </c>
      <c r="E604" s="86" t="s">
        <v>501</v>
      </c>
    </row>
    <row r="605" spans="1:5" ht="25.5" x14ac:dyDescent="0.2">
      <c r="A605" s="290" t="s">
        <v>915</v>
      </c>
      <c r="B605" s="121" t="s">
        <v>506</v>
      </c>
      <c r="C605" s="89" t="s">
        <v>34</v>
      </c>
      <c r="D605" s="90">
        <f>(D606*D607)-D608</f>
        <v>26.818999999999999</v>
      </c>
      <c r="E605" s="86" t="s">
        <v>505</v>
      </c>
    </row>
    <row r="606" spans="1:5" x14ac:dyDescent="0.2">
      <c r="A606" s="291"/>
      <c r="B606" s="109" t="s">
        <v>439</v>
      </c>
      <c r="C606" s="89" t="s">
        <v>33</v>
      </c>
      <c r="D606" s="91">
        <f>(2*3.15)+(2*2.5)</f>
        <v>11.3</v>
      </c>
      <c r="E606" s="86" t="s">
        <v>503</v>
      </c>
    </row>
    <row r="607" spans="1:5" x14ac:dyDescent="0.2">
      <c r="A607" s="291"/>
      <c r="B607" s="109" t="s">
        <v>440</v>
      </c>
      <c r="C607" s="89" t="s">
        <v>33</v>
      </c>
      <c r="D607" s="91">
        <v>2.73</v>
      </c>
      <c r="E607" s="86">
        <v>2.73</v>
      </c>
    </row>
    <row r="608" spans="1:5" x14ac:dyDescent="0.2">
      <c r="A608" s="292"/>
      <c r="B608" s="109" t="s">
        <v>445</v>
      </c>
      <c r="C608" s="98" t="s">
        <v>34</v>
      </c>
      <c r="D608" s="91">
        <f>(0.9*2.1)+(0.9*2.1)+(0.5*0.5)</f>
        <v>4.03</v>
      </c>
      <c r="E608" s="86" t="s">
        <v>504</v>
      </c>
    </row>
    <row r="609" spans="1:5" x14ac:dyDescent="0.2">
      <c r="A609" s="290" t="s">
        <v>917</v>
      </c>
      <c r="B609" s="121" t="s">
        <v>507</v>
      </c>
      <c r="C609" s="89" t="s">
        <v>34</v>
      </c>
      <c r="D609" s="90">
        <f>(D610*D611)-D612</f>
        <v>15.287999999999998</v>
      </c>
      <c r="E609" s="86" t="s">
        <v>509</v>
      </c>
    </row>
    <row r="610" spans="1:5" x14ac:dyDescent="0.2">
      <c r="A610" s="291"/>
      <c r="B610" s="109" t="s">
        <v>439</v>
      </c>
      <c r="C610" s="89" t="s">
        <v>33</v>
      </c>
      <c r="D610" s="91">
        <f>(2)+(4*0.9)</f>
        <v>5.6</v>
      </c>
      <c r="E610" s="85" t="s">
        <v>508</v>
      </c>
    </row>
    <row r="611" spans="1:5" x14ac:dyDescent="0.2">
      <c r="A611" s="291"/>
      <c r="B611" s="109" t="s">
        <v>440</v>
      </c>
      <c r="C611" s="89" t="s">
        <v>33</v>
      </c>
      <c r="D611" s="91">
        <v>2.73</v>
      </c>
      <c r="E611" s="85">
        <v>2.73</v>
      </c>
    </row>
    <row r="612" spans="1:5" x14ac:dyDescent="0.2">
      <c r="A612" s="292"/>
      <c r="B612" s="109" t="s">
        <v>445</v>
      </c>
      <c r="C612" s="98" t="s">
        <v>34</v>
      </c>
      <c r="D612" s="91">
        <v>0</v>
      </c>
      <c r="E612" s="85">
        <v>0</v>
      </c>
    </row>
    <row r="613" spans="1:5" ht="38.25" x14ac:dyDescent="0.2">
      <c r="A613" s="290" t="s">
        <v>918</v>
      </c>
      <c r="B613" s="121" t="s">
        <v>510</v>
      </c>
      <c r="C613" s="89" t="s">
        <v>34</v>
      </c>
      <c r="D613" s="90">
        <f>(D615*D614)-D616</f>
        <v>174.14299999999997</v>
      </c>
      <c r="E613" s="85" t="s">
        <v>512</v>
      </c>
    </row>
    <row r="614" spans="1:5" x14ac:dyDescent="0.2">
      <c r="A614" s="291"/>
      <c r="B614" s="109" t="s">
        <v>439</v>
      </c>
      <c r="C614" s="89" t="s">
        <v>33</v>
      </c>
      <c r="D614" s="91">
        <v>68.069999999999993</v>
      </c>
      <c r="E614" s="85">
        <v>68.069999999999993</v>
      </c>
    </row>
    <row r="615" spans="1:5" x14ac:dyDescent="0.2">
      <c r="A615" s="291"/>
      <c r="B615" s="109" t="s">
        <v>440</v>
      </c>
      <c r="C615" s="89" t="s">
        <v>33</v>
      </c>
      <c r="D615" s="91">
        <v>2.9</v>
      </c>
      <c r="E615" s="85">
        <v>2.9</v>
      </c>
    </row>
    <row r="616" spans="1:5" ht="25.5" x14ac:dyDescent="0.2">
      <c r="A616" s="292"/>
      <c r="B616" s="109" t="s">
        <v>445</v>
      </c>
      <c r="C616" s="98" t="s">
        <v>34</v>
      </c>
      <c r="D616" s="91">
        <f>(2*0.8*1.8)+(3*0.4*0.4)+(7*1.2*1)+(1*1)+(0.9*2.1)+(2*0.8*2.1)+(1.2*2.1)+(1.3*2.1)</f>
        <v>23.26</v>
      </c>
      <c r="E616" s="85" t="s">
        <v>511</v>
      </c>
    </row>
    <row r="617" spans="1:5" ht="25.5" x14ac:dyDescent="0.2">
      <c r="A617" s="290" t="s">
        <v>909</v>
      </c>
      <c r="B617" s="121" t="s">
        <v>513</v>
      </c>
      <c r="C617" s="6" t="s">
        <v>34</v>
      </c>
      <c r="D617" s="90">
        <f>(D619*D618)-D620</f>
        <v>31.794</v>
      </c>
      <c r="E617" s="146" t="s">
        <v>515</v>
      </c>
    </row>
    <row r="618" spans="1:5" x14ac:dyDescent="0.2">
      <c r="A618" s="291"/>
      <c r="B618" s="109" t="s">
        <v>439</v>
      </c>
      <c r="C618" s="6" t="s">
        <v>33</v>
      </c>
      <c r="D618" s="91">
        <f>(4*2.1)+(4*0.8)+(2*1.1)</f>
        <v>13.8</v>
      </c>
      <c r="E618" s="85" t="s">
        <v>514</v>
      </c>
    </row>
    <row r="619" spans="1:5" x14ac:dyDescent="0.2">
      <c r="A619" s="291"/>
      <c r="B619" s="109" t="s">
        <v>440</v>
      </c>
      <c r="C619" s="6" t="s">
        <v>33</v>
      </c>
      <c r="D619" s="91">
        <v>2.73</v>
      </c>
      <c r="E619" s="85">
        <v>2.73</v>
      </c>
    </row>
    <row r="620" spans="1:5" x14ac:dyDescent="0.2">
      <c r="A620" s="292"/>
      <c r="B620" s="109" t="s">
        <v>445</v>
      </c>
      <c r="C620" s="6" t="s">
        <v>34</v>
      </c>
      <c r="D620" s="58">
        <f>0.7*2.1*4</f>
        <v>5.88</v>
      </c>
      <c r="E620" s="67" t="s">
        <v>533</v>
      </c>
    </row>
    <row r="621" spans="1:5" ht="25.5" x14ac:dyDescent="0.2">
      <c r="A621" s="10" t="s">
        <v>919</v>
      </c>
      <c r="B621" s="109" t="s">
        <v>856</v>
      </c>
      <c r="C621" s="6" t="s">
        <v>34</v>
      </c>
      <c r="D621" s="150">
        <f>(0.4*4.22*2+0.2*4.22+0.2*3.82)*5+(0.4*2*1.94+0.2*1.94+2.34*0.2)*5</f>
        <v>36.96</v>
      </c>
      <c r="E621" s="146" t="s">
        <v>857</v>
      </c>
    </row>
    <row r="622" spans="1:5" ht="38.25" x14ac:dyDescent="0.2">
      <c r="A622" s="10" t="s">
        <v>920</v>
      </c>
      <c r="B622" s="109" t="s">
        <v>418</v>
      </c>
      <c r="C622" s="6" t="s">
        <v>34</v>
      </c>
      <c r="D622" s="90">
        <f>2.852*19.65+2.7*10*1.8+1.2*2*2.5*10+(2.852+2.5)*1.65+((2.7+2.5)*1.65*9/2)+0.15*2.5*10+3.425*1.6*11+0.15*9*2.5</f>
        <v>279.48760000000004</v>
      </c>
      <c r="E622" s="85" t="s">
        <v>553</v>
      </c>
    </row>
    <row r="623" spans="1:5" ht="25.5" x14ac:dyDescent="0.2">
      <c r="A623" s="10" t="s">
        <v>921</v>
      </c>
      <c r="B623" s="109" t="s">
        <v>419</v>
      </c>
      <c r="C623" s="6" t="s">
        <v>34</v>
      </c>
      <c r="D623" s="90">
        <f>2.925*2.82+2.625*2.8+7.075*2.8*2+2.9*2.8*2.4+1.5*2.4*2</f>
        <v>81.906499999999994</v>
      </c>
      <c r="E623" s="85" t="s">
        <v>554</v>
      </c>
    </row>
    <row r="624" spans="1:5" ht="51" x14ac:dyDescent="0.2">
      <c r="A624" s="10" t="s">
        <v>922</v>
      </c>
      <c r="B624" s="55" t="s">
        <v>571</v>
      </c>
      <c r="C624" s="6" t="s">
        <v>34</v>
      </c>
      <c r="D624" s="88">
        <f>(0.15+18.2+0.15+15.27+0.15+8.25+0.15+2.19+0.15+2.4+0.15+4.6+1+2.84+0.15+6.1+0.15+11.17)*1*2+(0.15+1.8+0.15+3.08+3.08)*1.6*2+(1.8+0.15+0.15+1.6+0.15+1.8+0.15+1.6)*2.6*2</f>
        <v>211.35199999999998</v>
      </c>
      <c r="E624" s="59" t="s">
        <v>577</v>
      </c>
    </row>
    <row r="625" spans="1:5" x14ac:dyDescent="0.2">
      <c r="A625" s="185" t="s">
        <v>194</v>
      </c>
      <c r="B625" s="127" t="str">
        <f>Orçamento!C304</f>
        <v>EMBOÇO (1CI:4 ARML)</v>
      </c>
      <c r="C625" s="186" t="str">
        <f>Orçamento!E304</f>
        <v>M2</v>
      </c>
      <c r="D625" s="88">
        <f>SUM(D627+D631+D635+D639+D643+D647)</f>
        <v>119.8308</v>
      </c>
      <c r="E625" s="62"/>
    </row>
    <row r="626" spans="1:5" x14ac:dyDescent="0.2">
      <c r="A626" s="10"/>
      <c r="B626" s="55" t="s">
        <v>551</v>
      </c>
      <c r="C626" s="6"/>
      <c r="D626" s="88"/>
      <c r="E626" s="62"/>
    </row>
    <row r="627" spans="1:5" x14ac:dyDescent="0.2">
      <c r="A627" s="290" t="s">
        <v>923</v>
      </c>
      <c r="B627" s="55" t="s">
        <v>489</v>
      </c>
      <c r="C627" s="6" t="s">
        <v>34</v>
      </c>
      <c r="D627" s="90">
        <f>(D628*D629)-D630</f>
        <v>10.128000000000002</v>
      </c>
      <c r="E627" s="86" t="s">
        <v>522</v>
      </c>
    </row>
    <row r="628" spans="1:5" x14ac:dyDescent="0.2">
      <c r="A628" s="291"/>
      <c r="B628" s="109" t="s">
        <v>439</v>
      </c>
      <c r="C628" s="98" t="s">
        <v>33</v>
      </c>
      <c r="D628" s="91">
        <v>7.08</v>
      </c>
      <c r="E628" s="86" t="s">
        <v>521</v>
      </c>
    </row>
    <row r="629" spans="1:5" x14ac:dyDescent="0.2">
      <c r="A629" s="291"/>
      <c r="B629" s="109" t="s">
        <v>440</v>
      </c>
      <c r="C629" s="98" t="s">
        <v>33</v>
      </c>
      <c r="D629" s="91">
        <v>1.6</v>
      </c>
      <c r="E629" s="86">
        <v>1.6</v>
      </c>
    </row>
    <row r="630" spans="1:5" x14ac:dyDescent="0.2">
      <c r="A630" s="292"/>
      <c r="B630" s="109" t="s">
        <v>445</v>
      </c>
      <c r="C630" s="98" t="s">
        <v>34</v>
      </c>
      <c r="D630" s="91">
        <v>1.2</v>
      </c>
      <c r="E630" s="86" t="s">
        <v>491</v>
      </c>
    </row>
    <row r="631" spans="1:5" x14ac:dyDescent="0.2">
      <c r="A631" s="290" t="s">
        <v>924</v>
      </c>
      <c r="B631" s="109" t="s">
        <v>518</v>
      </c>
      <c r="C631" s="6" t="s">
        <v>34</v>
      </c>
      <c r="D631" s="90">
        <f>(D632*D633)-D634</f>
        <v>18.687000000000001</v>
      </c>
      <c r="E631" s="86" t="s">
        <v>524</v>
      </c>
    </row>
    <row r="632" spans="1:5" x14ac:dyDescent="0.2">
      <c r="A632" s="291"/>
      <c r="B632" s="109" t="s">
        <v>439</v>
      </c>
      <c r="C632" s="98" t="s">
        <v>33</v>
      </c>
      <c r="D632" s="91">
        <v>7.9</v>
      </c>
      <c r="E632" s="86" t="s">
        <v>523</v>
      </c>
    </row>
    <row r="633" spans="1:5" x14ac:dyDescent="0.2">
      <c r="A633" s="291"/>
      <c r="B633" s="109" t="s">
        <v>440</v>
      </c>
      <c r="C633" s="98" t="s">
        <v>33</v>
      </c>
      <c r="D633" s="91">
        <v>2.73</v>
      </c>
      <c r="E633" s="86">
        <v>2.73</v>
      </c>
    </row>
    <row r="634" spans="1:5" x14ac:dyDescent="0.2">
      <c r="A634" s="292"/>
      <c r="B634" s="109" t="s">
        <v>445</v>
      </c>
      <c r="C634" s="98" t="s">
        <v>34</v>
      </c>
      <c r="D634" s="93">
        <f>(1.2*1)+(0.8*2.1)</f>
        <v>2.88</v>
      </c>
      <c r="E634" s="86" t="s">
        <v>487</v>
      </c>
    </row>
    <row r="635" spans="1:5" x14ac:dyDescent="0.2">
      <c r="A635" s="290" t="s">
        <v>925</v>
      </c>
      <c r="B635" s="109" t="s">
        <v>520</v>
      </c>
      <c r="C635" s="6" t="s">
        <v>34</v>
      </c>
      <c r="D635" s="90">
        <v>2.88</v>
      </c>
      <c r="E635" s="86" t="s">
        <v>525</v>
      </c>
    </row>
    <row r="636" spans="1:5" x14ac:dyDescent="0.2">
      <c r="A636" s="291"/>
      <c r="B636" s="109" t="s">
        <v>439</v>
      </c>
      <c r="C636" s="98" t="s">
        <v>33</v>
      </c>
      <c r="D636" s="91">
        <v>1.8</v>
      </c>
      <c r="E636" s="86">
        <v>1.8</v>
      </c>
    </row>
    <row r="637" spans="1:5" x14ac:dyDescent="0.2">
      <c r="A637" s="291"/>
      <c r="B637" s="109" t="s">
        <v>440</v>
      </c>
      <c r="C637" s="98" t="s">
        <v>33</v>
      </c>
      <c r="D637" s="91">
        <v>1.6</v>
      </c>
      <c r="E637" s="86">
        <v>1.6</v>
      </c>
    </row>
    <row r="638" spans="1:5" x14ac:dyDescent="0.2">
      <c r="A638" s="292"/>
      <c r="B638" s="109" t="s">
        <v>445</v>
      </c>
      <c r="C638" s="98" t="s">
        <v>34</v>
      </c>
      <c r="D638" s="91">
        <v>0</v>
      </c>
      <c r="E638" s="86">
        <v>0</v>
      </c>
    </row>
    <row r="639" spans="1:5" x14ac:dyDescent="0.2">
      <c r="A639" s="290" t="s">
        <v>926</v>
      </c>
      <c r="B639" s="52" t="s">
        <v>446</v>
      </c>
      <c r="C639" s="6" t="s">
        <v>34</v>
      </c>
      <c r="D639" s="90">
        <f>(D640*D641)-D642</f>
        <v>30.709999999999997</v>
      </c>
      <c r="E639" s="145" t="s">
        <v>449</v>
      </c>
    </row>
    <row r="640" spans="1:5" x14ac:dyDescent="0.2">
      <c r="A640" s="291"/>
      <c r="B640" s="52" t="s">
        <v>439</v>
      </c>
      <c r="C640" s="98" t="s">
        <v>33</v>
      </c>
      <c r="D640" s="91">
        <f>(2*4.1)+(2*1.9)</f>
        <v>12</v>
      </c>
      <c r="E640" s="86" t="s">
        <v>447</v>
      </c>
    </row>
    <row r="641" spans="1:5" x14ac:dyDescent="0.2">
      <c r="A641" s="291"/>
      <c r="B641" s="52" t="s">
        <v>440</v>
      </c>
      <c r="C641" s="98" t="s">
        <v>33</v>
      </c>
      <c r="D641" s="91">
        <v>2.73</v>
      </c>
      <c r="E641" s="145">
        <v>2.73</v>
      </c>
    </row>
    <row r="642" spans="1:5" x14ac:dyDescent="0.2">
      <c r="A642" s="292"/>
      <c r="B642" s="52" t="s">
        <v>445</v>
      </c>
      <c r="C642" s="98" t="s">
        <v>34</v>
      </c>
      <c r="D642" s="91">
        <f>(0.9*2.1)+(0.4*0.4)</f>
        <v>2.0500000000000003</v>
      </c>
      <c r="E642" s="145" t="s">
        <v>448</v>
      </c>
    </row>
    <row r="643" spans="1:5" x14ac:dyDescent="0.2">
      <c r="A643" s="290" t="s">
        <v>927</v>
      </c>
      <c r="B643" s="52" t="s">
        <v>450</v>
      </c>
      <c r="C643" s="6" t="s">
        <v>34</v>
      </c>
      <c r="D643" s="90">
        <f>(D644*D645)-D646</f>
        <v>30.709999999999997</v>
      </c>
      <c r="E643" s="145" t="s">
        <v>449</v>
      </c>
    </row>
    <row r="644" spans="1:5" x14ac:dyDescent="0.2">
      <c r="A644" s="291"/>
      <c r="B644" s="52" t="s">
        <v>439</v>
      </c>
      <c r="C644" s="98" t="s">
        <v>33</v>
      </c>
      <c r="D644" s="91">
        <f>(2*4.1)+(2*1.9)</f>
        <v>12</v>
      </c>
      <c r="E644" s="86" t="s">
        <v>447</v>
      </c>
    </row>
    <row r="645" spans="1:5" x14ac:dyDescent="0.2">
      <c r="A645" s="291"/>
      <c r="B645" s="52" t="s">
        <v>440</v>
      </c>
      <c r="C645" s="98" t="s">
        <v>33</v>
      </c>
      <c r="D645" s="91">
        <v>2.73</v>
      </c>
      <c r="E645" s="145">
        <v>2.73</v>
      </c>
    </row>
    <row r="646" spans="1:5" x14ac:dyDescent="0.2">
      <c r="A646" s="292"/>
      <c r="B646" s="52" t="s">
        <v>445</v>
      </c>
      <c r="C646" s="98" t="s">
        <v>34</v>
      </c>
      <c r="D646" s="91">
        <f>(0.9*2.1)+(0.4*0.4)</f>
        <v>2.0500000000000003</v>
      </c>
      <c r="E646" s="145" t="s">
        <v>448</v>
      </c>
    </row>
    <row r="647" spans="1:5" x14ac:dyDescent="0.2">
      <c r="A647" s="290" t="s">
        <v>928</v>
      </c>
      <c r="B647" s="109" t="s">
        <v>519</v>
      </c>
      <c r="C647" s="6" t="s">
        <v>34</v>
      </c>
      <c r="D647" s="90">
        <f>(D648*D649)-D650</f>
        <v>26.715800000000002</v>
      </c>
      <c r="E647" s="86" t="s">
        <v>528</v>
      </c>
    </row>
    <row r="648" spans="1:5" x14ac:dyDescent="0.2">
      <c r="A648" s="291"/>
      <c r="B648" s="52" t="s">
        <v>439</v>
      </c>
      <c r="C648" s="98" t="s">
        <v>33</v>
      </c>
      <c r="D648" s="91">
        <v>10.46</v>
      </c>
      <c r="E648" s="86" t="s">
        <v>526</v>
      </c>
    </row>
    <row r="649" spans="1:5" x14ac:dyDescent="0.2">
      <c r="A649" s="291"/>
      <c r="B649" s="52" t="s">
        <v>440</v>
      </c>
      <c r="C649" s="98" t="s">
        <v>33</v>
      </c>
      <c r="D649" s="91">
        <v>2.73</v>
      </c>
      <c r="E649" s="86">
        <v>2.73</v>
      </c>
    </row>
    <row r="650" spans="1:5" x14ac:dyDescent="0.2">
      <c r="A650" s="292"/>
      <c r="B650" s="52" t="s">
        <v>445</v>
      </c>
      <c r="C650" s="98" t="s">
        <v>34</v>
      </c>
      <c r="D650" s="91">
        <v>1.84</v>
      </c>
      <c r="E650" s="62" t="s">
        <v>527</v>
      </c>
    </row>
    <row r="651" spans="1:5" x14ac:dyDescent="0.2">
      <c r="A651" s="299"/>
      <c r="B651" s="300"/>
      <c r="C651" s="300"/>
      <c r="D651" s="300"/>
      <c r="E651" s="301"/>
    </row>
    <row r="652" spans="1:5" x14ac:dyDescent="0.2">
      <c r="A652" s="296" t="s">
        <v>214</v>
      </c>
      <c r="B652" s="297"/>
      <c r="C652" s="297"/>
      <c r="D652" s="297"/>
      <c r="E652" s="298"/>
    </row>
    <row r="653" spans="1:5" x14ac:dyDescent="0.2">
      <c r="A653" s="4">
        <v>16</v>
      </c>
      <c r="B653" s="120" t="s">
        <v>215</v>
      </c>
      <c r="C653" s="5"/>
      <c r="D653" s="78"/>
      <c r="E653" s="64"/>
    </row>
    <row r="654" spans="1:5" ht="38.25" x14ac:dyDescent="0.2">
      <c r="A654" s="10" t="s">
        <v>195</v>
      </c>
      <c r="B654" s="55" t="str">
        <f>Orçamento!C308</f>
        <v>FORRO DE GESSO SOB LAJE PREMOLDADA</v>
      </c>
      <c r="C654" s="6" t="str">
        <f>Orçamento!E308</f>
        <v>M2</v>
      </c>
      <c r="D654" s="88">
        <v>174.51000000000002</v>
      </c>
      <c r="E654" s="67" t="s">
        <v>433</v>
      </c>
    </row>
    <row r="655" spans="1:5" x14ac:dyDescent="0.2">
      <c r="A655" s="299"/>
      <c r="B655" s="300"/>
      <c r="C655" s="300"/>
      <c r="D655" s="300"/>
      <c r="E655" s="301"/>
    </row>
    <row r="656" spans="1:5" x14ac:dyDescent="0.2">
      <c r="A656" s="296" t="s">
        <v>216</v>
      </c>
      <c r="B656" s="297"/>
      <c r="C656" s="297"/>
      <c r="D656" s="297"/>
      <c r="E656" s="298"/>
    </row>
    <row r="657" spans="1:5" x14ac:dyDescent="0.2">
      <c r="A657" s="4">
        <v>17</v>
      </c>
      <c r="B657" s="120" t="s">
        <v>189</v>
      </c>
      <c r="C657" s="5"/>
      <c r="D657" s="78"/>
      <c r="E657" s="64"/>
    </row>
    <row r="658" spans="1:5" x14ac:dyDescent="0.2">
      <c r="A658" s="290" t="s">
        <v>204</v>
      </c>
      <c r="B658" s="17" t="str">
        <f>Orçamento!C312</f>
        <v>PISO EM CONCRETO DESEMPENADO ESPESSURA = 7 CM 1:2,5:3,5</v>
      </c>
      <c r="C658" s="6" t="str">
        <f>Orçamento!E312</f>
        <v>M2</v>
      </c>
      <c r="D658" s="88">
        <f>SUM(D659:D661)</f>
        <v>155.25624999999999</v>
      </c>
      <c r="E658" s="59"/>
    </row>
    <row r="659" spans="1:5" x14ac:dyDescent="0.2">
      <c r="A659" s="291"/>
      <c r="B659" s="17" t="s">
        <v>431</v>
      </c>
      <c r="C659" s="6"/>
      <c r="D659" s="58">
        <f>1.72+6*1.2*0.3+3.14*1.5*1.5/4+1.6*0.1*2</f>
        <v>5.9662500000000005</v>
      </c>
      <c r="E659" s="59" t="s">
        <v>583</v>
      </c>
    </row>
    <row r="660" spans="1:5" x14ac:dyDescent="0.2">
      <c r="A660" s="291"/>
      <c r="B660" s="17" t="s">
        <v>567</v>
      </c>
      <c r="C660" s="6"/>
      <c r="D660" s="58">
        <v>59.69</v>
      </c>
      <c r="E660" s="59"/>
    </row>
    <row r="661" spans="1:5" x14ac:dyDescent="0.2">
      <c r="A661" s="292"/>
      <c r="B661" s="17" t="s">
        <v>418</v>
      </c>
      <c r="C661" s="6"/>
      <c r="D661" s="58">
        <f>10*6.21+10*2.75</f>
        <v>89.6</v>
      </c>
      <c r="E661" s="59" t="s">
        <v>432</v>
      </c>
    </row>
    <row r="662" spans="1:5" ht="25.5" x14ac:dyDescent="0.2">
      <c r="A662" s="290" t="s">
        <v>227</v>
      </c>
      <c r="B662" s="17" t="str">
        <f>Orçamento!C313</f>
        <v>PISO EM CERÂMICA PEI-5 COM CONTRAPISO (1CI:3ARML) E ARGAMASSA COLANTE</v>
      </c>
      <c r="C662" s="6" t="str">
        <f>Orçamento!E313</f>
        <v>M2</v>
      </c>
      <c r="D662" s="88">
        <f>Orçamento!D313</f>
        <v>192.95</v>
      </c>
      <c r="E662" s="74"/>
    </row>
    <row r="663" spans="1:5" ht="38.25" x14ac:dyDescent="0.2">
      <c r="A663" s="291"/>
      <c r="B663" s="17" t="s">
        <v>437</v>
      </c>
      <c r="C663" s="6"/>
      <c r="D663" s="58">
        <f>10.41+10.41+12.63+23.77+7.79+7.79+13.04+1.5+5.22+12.63+4.97+7.2+4.92+3.23+5.05+7.62+2.25+4.25+9.4+3.75+5.05+7.95+3.68</f>
        <v>174.51000000000002</v>
      </c>
      <c r="E663" s="67" t="s">
        <v>433</v>
      </c>
    </row>
    <row r="664" spans="1:5" x14ac:dyDescent="0.2">
      <c r="A664" s="292"/>
      <c r="B664" s="17" t="s">
        <v>419</v>
      </c>
      <c r="C664" s="6"/>
      <c r="D664" s="58">
        <f>E664</f>
        <v>18.440000000000001</v>
      </c>
      <c r="E664" s="67">
        <v>18.440000000000001</v>
      </c>
    </row>
    <row r="665" spans="1:5" x14ac:dyDescent="0.2">
      <c r="A665" s="290" t="s">
        <v>228</v>
      </c>
      <c r="B665" s="17" t="str">
        <f>Orçamento!C314</f>
        <v xml:space="preserve">RODAPÉ DE CERÂMICA COM ARGAMASSA COLANTE </v>
      </c>
      <c r="C665" s="6" t="str">
        <f>Orçamento!E314</f>
        <v>M</v>
      </c>
      <c r="D665" s="88">
        <f>Orçamento!D314</f>
        <v>324.32</v>
      </c>
      <c r="E665" s="74"/>
    </row>
    <row r="666" spans="1:5" ht="38.25" x14ac:dyDescent="0.2">
      <c r="A666" s="291"/>
      <c r="B666" s="17" t="s">
        <v>437</v>
      </c>
      <c r="C666" s="6"/>
      <c r="D666" s="58">
        <f>13.28+13.28+14.36+42.02+12+12+14.5+5+10.16+14.36+8.92+11.48+10.6+7.78+6.75+9.1+13.48+6+9.76+10.5+5.72+14.5+8+9.1+11.6+7.9</f>
        <v>302.14999999999998</v>
      </c>
      <c r="E666" s="67" t="s">
        <v>434</v>
      </c>
    </row>
    <row r="667" spans="1:5" x14ac:dyDescent="0.2">
      <c r="A667" s="292"/>
      <c r="B667" s="17" t="s">
        <v>419</v>
      </c>
      <c r="C667" s="6"/>
      <c r="D667" s="58">
        <f>E667</f>
        <v>22.17</v>
      </c>
      <c r="E667" s="67">
        <v>22.17</v>
      </c>
    </row>
    <row r="668" spans="1:5" x14ac:dyDescent="0.2">
      <c r="A668" s="10" t="s">
        <v>572</v>
      </c>
      <c r="B668" s="17" t="str">
        <f>Orçamento!C315</f>
        <v>PAVIMENTO INTERTRAVADO ESPESSURA DE 6CM E FCK = 35 MPA</v>
      </c>
      <c r="C668" s="6" t="str">
        <f>Orçamento!E315</f>
        <v xml:space="preserve">M2 </v>
      </c>
      <c r="D668" s="58">
        <v>45.05</v>
      </c>
      <c r="E668" s="67"/>
    </row>
    <row r="669" spans="1:5" x14ac:dyDescent="0.2">
      <c r="A669" s="10" t="s">
        <v>604</v>
      </c>
      <c r="B669" s="124" t="s">
        <v>949</v>
      </c>
      <c r="C669" s="6" t="s">
        <v>34</v>
      </c>
      <c r="D669" s="58">
        <f>200*0.04</f>
        <v>8</v>
      </c>
      <c r="E669" s="67" t="s">
        <v>1105</v>
      </c>
    </row>
    <row r="670" spans="1:5" x14ac:dyDescent="0.2">
      <c r="A670" s="10"/>
      <c r="B670" s="17"/>
      <c r="C670" s="6"/>
      <c r="D670" s="88"/>
      <c r="E670" s="67"/>
    </row>
    <row r="671" spans="1:5" x14ac:dyDescent="0.2">
      <c r="A671" s="296" t="s">
        <v>435</v>
      </c>
      <c r="B671" s="297"/>
      <c r="C671" s="297"/>
      <c r="D671" s="297"/>
      <c r="E671" s="298"/>
    </row>
    <row r="672" spans="1:5" x14ac:dyDescent="0.2">
      <c r="A672" s="4">
        <v>18</v>
      </c>
      <c r="B672" s="120" t="s">
        <v>436</v>
      </c>
      <c r="C672" s="5"/>
      <c r="D672" s="78"/>
      <c r="E672" s="64"/>
    </row>
    <row r="673" spans="1:5" x14ac:dyDescent="0.2">
      <c r="A673" s="9" t="s">
        <v>205</v>
      </c>
      <c r="B673" s="17" t="str">
        <f>Orçamento!C320</f>
        <v xml:space="preserve">CANTONEIRA GRANDE P/DIVISORIAS </v>
      </c>
      <c r="C673" s="5" t="str">
        <f>Orçamento!E320</f>
        <v>UND.</v>
      </c>
      <c r="D673" s="78">
        <f>Orçamento!D320</f>
        <v>12</v>
      </c>
      <c r="E673" s="65"/>
    </row>
    <row r="674" spans="1:5" ht="25.5" x14ac:dyDescent="0.2">
      <c r="A674" s="9" t="s">
        <v>206</v>
      </c>
      <c r="B674" s="17" t="str">
        <f>Orçamento!C321</f>
        <v xml:space="preserve">BARRA PARA PORTADOR DE NECESSIDADES ESPECIAIS - P.N.E. "B6" PADRÃO AGETOP </v>
      </c>
      <c r="C674" s="5" t="str">
        <f>Orçamento!E321</f>
        <v>UND.</v>
      </c>
      <c r="D674" s="78">
        <f>Orçamento!D321</f>
        <v>4</v>
      </c>
      <c r="E674" s="66"/>
    </row>
    <row r="675" spans="1:5" x14ac:dyDescent="0.2">
      <c r="A675" s="9" t="s">
        <v>207</v>
      </c>
      <c r="B675" s="17" t="str">
        <f>Orçamento!C322</f>
        <v>FECH.(ALAV.) LAFONTE 6236 I /8766- I18 IMAB OU EQUIV.</v>
      </c>
      <c r="C675" s="5" t="str">
        <f>Orçamento!E322</f>
        <v>UND.</v>
      </c>
      <c r="D675" s="78">
        <f>Orçamento!D322</f>
        <v>9</v>
      </c>
      <c r="E675" s="66"/>
    </row>
    <row r="676" spans="1:5" x14ac:dyDescent="0.2">
      <c r="A676" s="9" t="s">
        <v>534</v>
      </c>
      <c r="B676" s="17" t="str">
        <f>Orçamento!C323</f>
        <v xml:space="preserve">FECH.(ALAV.) LAFONTE 6236 E/8766- E17 IMAB OU EQUIV. </v>
      </c>
      <c r="C676" s="5" t="str">
        <f>Orçamento!E323</f>
        <v>UND.</v>
      </c>
      <c r="D676" s="78">
        <f>Orçamento!D323</f>
        <v>7</v>
      </c>
      <c r="E676" s="66"/>
    </row>
    <row r="677" spans="1:5" ht="25.5" x14ac:dyDescent="0.2">
      <c r="A677" s="9" t="s">
        <v>535</v>
      </c>
      <c r="B677" s="17" t="str">
        <f>Orçamento!C324</f>
        <v xml:space="preserve">FECH. TIPO BICO DE PAPAGAIO (1222 LAFONTE/1161 E - 30 IMAB) OU EQUIV. </v>
      </c>
      <c r="C677" s="5" t="str">
        <f>Orçamento!E324</f>
        <v>UND.</v>
      </c>
      <c r="D677" s="78">
        <f>Orçamento!D324</f>
        <v>3</v>
      </c>
      <c r="E677" s="66"/>
    </row>
    <row r="678" spans="1:5" x14ac:dyDescent="0.2">
      <c r="A678" s="293" t="s">
        <v>536</v>
      </c>
      <c r="B678" s="17" t="str">
        <f>Orçamento!C325</f>
        <v xml:space="preserve"> FECHO FIO REDONDO 4" ZINCADO PARAFUSADO </v>
      </c>
      <c r="C678" s="5" t="str">
        <f>Orçamento!E325</f>
        <v>UND.</v>
      </c>
      <c r="D678" s="78">
        <f>Orçamento!D325</f>
        <v>15</v>
      </c>
      <c r="E678" s="66"/>
    </row>
    <row r="679" spans="1:5" x14ac:dyDescent="0.2">
      <c r="A679" s="294"/>
      <c r="B679" s="17" t="s">
        <v>431</v>
      </c>
      <c r="C679" s="5"/>
      <c r="D679" s="89">
        <v>4</v>
      </c>
      <c r="E679" s="66"/>
    </row>
    <row r="680" spans="1:5" x14ac:dyDescent="0.2">
      <c r="A680" s="294"/>
      <c r="B680" s="17" t="s">
        <v>418</v>
      </c>
      <c r="C680" s="5"/>
      <c r="D680" s="89">
        <v>10</v>
      </c>
      <c r="E680" s="66"/>
    </row>
    <row r="681" spans="1:5" x14ac:dyDescent="0.2">
      <c r="A681" s="295"/>
      <c r="B681" s="17" t="s">
        <v>419</v>
      </c>
      <c r="C681" s="5"/>
      <c r="D681" s="89">
        <v>1</v>
      </c>
      <c r="E681" s="66"/>
    </row>
    <row r="682" spans="1:5" x14ac:dyDescent="0.2">
      <c r="A682" s="9" t="s">
        <v>537</v>
      </c>
      <c r="B682" s="17" t="str">
        <f>Orçamento!C326</f>
        <v xml:space="preserve">DOBRADICA 3" x 3 1/2" FERRO POLIDO </v>
      </c>
      <c r="C682" s="5" t="str">
        <f>Orçamento!E326</f>
        <v>UND.</v>
      </c>
      <c r="D682" s="78">
        <f>Orçamento!D326</f>
        <v>60</v>
      </c>
      <c r="E682" s="66"/>
    </row>
    <row r="683" spans="1:5" x14ac:dyDescent="0.2">
      <c r="A683" s="355"/>
      <c r="B683" s="356"/>
      <c r="C683" s="356"/>
      <c r="D683" s="356"/>
      <c r="E683" s="357"/>
    </row>
    <row r="684" spans="1:5" x14ac:dyDescent="0.2">
      <c r="A684" s="296" t="s">
        <v>229</v>
      </c>
      <c r="B684" s="297"/>
      <c r="C684" s="297"/>
      <c r="D684" s="297"/>
      <c r="E684" s="298"/>
    </row>
    <row r="685" spans="1:5" x14ac:dyDescent="0.2">
      <c r="A685" s="4">
        <v>18</v>
      </c>
      <c r="B685" s="120" t="s">
        <v>230</v>
      </c>
      <c r="C685" s="5"/>
      <c r="D685" s="78"/>
      <c r="E685" s="64"/>
    </row>
    <row r="686" spans="1:5" x14ac:dyDescent="0.2">
      <c r="A686" s="9" t="s">
        <v>205</v>
      </c>
      <c r="B686" s="151" t="s">
        <v>232</v>
      </c>
      <c r="C686" s="6" t="s">
        <v>231</v>
      </c>
      <c r="D686" s="58">
        <f>8*22*7</f>
        <v>1232</v>
      </c>
      <c r="E686" s="66" t="s">
        <v>866</v>
      </c>
    </row>
    <row r="687" spans="1:5" x14ac:dyDescent="0.2">
      <c r="A687" s="9" t="s">
        <v>206</v>
      </c>
      <c r="B687" s="1" t="s">
        <v>863</v>
      </c>
      <c r="C687" s="6" t="s">
        <v>231</v>
      </c>
      <c r="D687" s="58">
        <f>8*2*4*7</f>
        <v>448</v>
      </c>
      <c r="E687" s="66" t="s">
        <v>865</v>
      </c>
    </row>
    <row r="688" spans="1:5" x14ac:dyDescent="0.2">
      <c r="A688" s="9" t="s">
        <v>207</v>
      </c>
      <c r="B688" s="152" t="s">
        <v>233</v>
      </c>
      <c r="C688" s="6" t="s">
        <v>231</v>
      </c>
      <c r="D688" s="58">
        <f>7*7*4*7</f>
        <v>1372</v>
      </c>
      <c r="E688" s="66" t="s">
        <v>864</v>
      </c>
    </row>
    <row r="689" spans="1:5" x14ac:dyDescent="0.2">
      <c r="A689" s="299"/>
      <c r="B689" s="300"/>
      <c r="C689" s="300"/>
      <c r="D689" s="300"/>
      <c r="E689" s="301"/>
    </row>
    <row r="690" spans="1:5" x14ac:dyDescent="0.2">
      <c r="A690" s="296" t="s">
        <v>197</v>
      </c>
      <c r="B690" s="297"/>
      <c r="C690" s="297"/>
      <c r="D690" s="297"/>
      <c r="E690" s="298"/>
    </row>
    <row r="691" spans="1:5" x14ac:dyDescent="0.2">
      <c r="A691" s="4">
        <v>19</v>
      </c>
      <c r="B691" s="120" t="s">
        <v>208</v>
      </c>
      <c r="C691" s="5"/>
      <c r="D691" s="78"/>
      <c r="E691" s="64"/>
    </row>
    <row r="692" spans="1:5" x14ac:dyDescent="0.2">
      <c r="A692" s="10" t="s">
        <v>234</v>
      </c>
      <c r="B692" s="55" t="str">
        <f>Orçamento!C336</f>
        <v>PINTURA LATEX ACRILICA 2 DEMAOS C/SELADOR</v>
      </c>
      <c r="C692" s="6" t="str">
        <f>Orçamento!E336</f>
        <v>M2</v>
      </c>
      <c r="D692" s="88">
        <f>SUM(D694+D698+D702+D706+D710+D714+D718+D722+D726+D730+D734+D738+D742+D746+D750+D754+D758+D762+D766+D770+D774+D778+D779+D780+D781+D782)</f>
        <v>1298.0431000000001</v>
      </c>
      <c r="E692" s="62"/>
    </row>
    <row r="693" spans="1:5" x14ac:dyDescent="0.2">
      <c r="A693" s="10"/>
      <c r="B693" s="55" t="s">
        <v>551</v>
      </c>
      <c r="C693" s="6"/>
      <c r="D693" s="88"/>
      <c r="E693" s="62"/>
    </row>
    <row r="694" spans="1:5" ht="25.5" x14ac:dyDescent="0.2">
      <c r="A694" s="290" t="s">
        <v>234</v>
      </c>
      <c r="B694" s="109" t="s">
        <v>444</v>
      </c>
      <c r="C694" s="89" t="s">
        <v>34</v>
      </c>
      <c r="D694" s="90">
        <f>(D695*D696)-D697</f>
        <v>21.143999999999998</v>
      </c>
      <c r="E694" s="145" t="s">
        <v>1070</v>
      </c>
    </row>
    <row r="695" spans="1:5" x14ac:dyDescent="0.2">
      <c r="A695" s="291"/>
      <c r="B695" s="109" t="s">
        <v>439</v>
      </c>
      <c r="C695" s="89" t="s">
        <v>33</v>
      </c>
      <c r="D695" s="91">
        <f>(3.3+4.25+2.31+3.95+2.15+1.5)</f>
        <v>17.46</v>
      </c>
      <c r="E695" s="145" t="s">
        <v>443</v>
      </c>
    </row>
    <row r="696" spans="1:5" x14ac:dyDescent="0.2">
      <c r="A696" s="291"/>
      <c r="B696" s="109" t="s">
        <v>440</v>
      </c>
      <c r="C696" s="89" t="s">
        <v>33</v>
      </c>
      <c r="D696" s="91">
        <v>1.9</v>
      </c>
      <c r="E696" s="145">
        <v>1.9</v>
      </c>
    </row>
    <row r="697" spans="1:5" x14ac:dyDescent="0.2">
      <c r="A697" s="292"/>
      <c r="B697" s="109" t="s">
        <v>445</v>
      </c>
      <c r="C697" s="98" t="s">
        <v>34</v>
      </c>
      <c r="D697" s="91">
        <f>(3*(0.8*1.8))+(1.2*1)+(1.3*2.1)+(2*(0.9*2.1))</f>
        <v>12.030000000000001</v>
      </c>
      <c r="E697" s="145" t="s">
        <v>442</v>
      </c>
    </row>
    <row r="698" spans="1:5" x14ac:dyDescent="0.2">
      <c r="A698" s="290" t="s">
        <v>868</v>
      </c>
      <c r="B698" s="109" t="s">
        <v>454</v>
      </c>
      <c r="C698" s="89" t="s">
        <v>34</v>
      </c>
      <c r="D698" s="90">
        <f>D699*D700-D701</f>
        <v>22.141999999999999</v>
      </c>
      <c r="E698" s="86" t="s">
        <v>1071</v>
      </c>
    </row>
    <row r="699" spans="1:5" x14ac:dyDescent="0.2">
      <c r="A699" s="291"/>
      <c r="B699" s="109" t="s">
        <v>439</v>
      </c>
      <c r="C699" s="89" t="s">
        <v>33</v>
      </c>
      <c r="D699" s="91">
        <f>(2*2.54)+(4.1*2)</f>
        <v>13.28</v>
      </c>
      <c r="E699" s="86" t="s">
        <v>451</v>
      </c>
    </row>
    <row r="700" spans="1:5" x14ac:dyDescent="0.2">
      <c r="A700" s="291"/>
      <c r="B700" s="109" t="s">
        <v>440</v>
      </c>
      <c r="C700" s="89" t="s">
        <v>33</v>
      </c>
      <c r="D700" s="91">
        <v>1.9</v>
      </c>
      <c r="E700" s="86">
        <v>1.9</v>
      </c>
    </row>
    <row r="701" spans="1:5" x14ac:dyDescent="0.2">
      <c r="A701" s="292"/>
      <c r="B701" s="109" t="s">
        <v>445</v>
      </c>
      <c r="C701" s="98" t="s">
        <v>34</v>
      </c>
      <c r="D701" s="91">
        <f>(1.2*1)+(0.9*2.1)</f>
        <v>3.09</v>
      </c>
      <c r="E701" s="86" t="s">
        <v>452</v>
      </c>
    </row>
    <row r="702" spans="1:5" x14ac:dyDescent="0.2">
      <c r="A702" s="290" t="s">
        <v>869</v>
      </c>
      <c r="B702" s="109" t="s">
        <v>455</v>
      </c>
      <c r="C702" s="89" t="s">
        <v>34</v>
      </c>
      <c r="D702" s="90">
        <f>D703*D704-D705</f>
        <v>22.141999999999999</v>
      </c>
      <c r="E702" s="86" t="s">
        <v>1071</v>
      </c>
    </row>
    <row r="703" spans="1:5" x14ac:dyDescent="0.2">
      <c r="A703" s="291"/>
      <c r="B703" s="109" t="s">
        <v>439</v>
      </c>
      <c r="C703" s="89" t="s">
        <v>33</v>
      </c>
      <c r="D703" s="91">
        <f>(2*2.54)+(4.1*2)</f>
        <v>13.28</v>
      </c>
      <c r="E703" s="86" t="s">
        <v>451</v>
      </c>
    </row>
    <row r="704" spans="1:5" x14ac:dyDescent="0.2">
      <c r="A704" s="291"/>
      <c r="B704" s="109" t="s">
        <v>440</v>
      </c>
      <c r="C704" s="89" t="s">
        <v>33</v>
      </c>
      <c r="D704" s="91">
        <v>1.9</v>
      </c>
      <c r="E704" s="86">
        <v>1.9</v>
      </c>
    </row>
    <row r="705" spans="1:5" x14ac:dyDescent="0.2">
      <c r="A705" s="292"/>
      <c r="B705" s="109" t="s">
        <v>445</v>
      </c>
      <c r="C705" s="98" t="s">
        <v>34</v>
      </c>
      <c r="D705" s="91">
        <f>(1.2*1)+(0.9*2.1)</f>
        <v>3.09</v>
      </c>
      <c r="E705" s="86" t="s">
        <v>452</v>
      </c>
    </row>
    <row r="706" spans="1:5" ht="25.5" x14ac:dyDescent="0.2">
      <c r="A706" s="290" t="s">
        <v>870</v>
      </c>
      <c r="B706" s="109" t="s">
        <v>459</v>
      </c>
      <c r="C706" s="89" t="s">
        <v>34</v>
      </c>
      <c r="D706" s="90">
        <f>(D707*D708)-D709</f>
        <v>52.533999999999992</v>
      </c>
      <c r="E706" s="86" t="s">
        <v>1072</v>
      </c>
    </row>
    <row r="707" spans="1:5" x14ac:dyDescent="0.2">
      <c r="A707" s="291"/>
      <c r="B707" s="109" t="s">
        <v>439</v>
      </c>
      <c r="C707" s="89" t="s">
        <v>33</v>
      </c>
      <c r="D707" s="91">
        <f>39.91+1.2+1.35</f>
        <v>42.46</v>
      </c>
      <c r="E707" s="86" t="s">
        <v>456</v>
      </c>
    </row>
    <row r="708" spans="1:5" x14ac:dyDescent="0.2">
      <c r="A708" s="291"/>
      <c r="B708" s="109" t="s">
        <v>440</v>
      </c>
      <c r="C708" s="89" t="s">
        <v>33</v>
      </c>
      <c r="D708" s="91">
        <v>1.9</v>
      </c>
      <c r="E708" s="86">
        <v>1.9</v>
      </c>
    </row>
    <row r="709" spans="1:5" ht="25.5" x14ac:dyDescent="0.2">
      <c r="A709" s="292"/>
      <c r="B709" s="109" t="s">
        <v>445</v>
      </c>
      <c r="C709" s="98" t="s">
        <v>34</v>
      </c>
      <c r="D709" s="91">
        <f>(7*0.9*2.1)+(1.1*2.1)+(4*0.8*2.1)+(1.2*1.8)+(1.2*1)+(1.2*2.1)</f>
        <v>28.14</v>
      </c>
      <c r="E709" s="86" t="s">
        <v>457</v>
      </c>
    </row>
    <row r="710" spans="1:5" x14ac:dyDescent="0.2">
      <c r="A710" s="290" t="s">
        <v>871</v>
      </c>
      <c r="B710" s="109" t="s">
        <v>460</v>
      </c>
      <c r="C710" s="89" t="s">
        <v>34</v>
      </c>
      <c r="D710" s="90">
        <f>(D711*D712)-D713</f>
        <v>17.459999999999997</v>
      </c>
      <c r="E710" s="86" t="s">
        <v>1073</v>
      </c>
    </row>
    <row r="711" spans="1:5" x14ac:dyDescent="0.2">
      <c r="A711" s="291"/>
      <c r="B711" s="109" t="s">
        <v>439</v>
      </c>
      <c r="C711" s="89" t="s">
        <v>33</v>
      </c>
      <c r="D711" s="91">
        <f>(2*4.1)+(2*1.2)</f>
        <v>10.6</v>
      </c>
      <c r="E711" s="86" t="s">
        <v>461</v>
      </c>
    </row>
    <row r="712" spans="1:5" x14ac:dyDescent="0.2">
      <c r="A712" s="291"/>
      <c r="B712" s="109" t="s">
        <v>440</v>
      </c>
      <c r="C712" s="89" t="s">
        <v>33</v>
      </c>
      <c r="D712" s="91">
        <v>1.9</v>
      </c>
      <c r="E712" s="86">
        <v>1.9</v>
      </c>
    </row>
    <row r="713" spans="1:5" x14ac:dyDescent="0.2">
      <c r="A713" s="292"/>
      <c r="B713" s="109" t="s">
        <v>445</v>
      </c>
      <c r="C713" s="98" t="s">
        <v>34</v>
      </c>
      <c r="D713" s="91">
        <f>(1*1)+(0.8*2.1)</f>
        <v>2.68</v>
      </c>
      <c r="E713" s="86" t="s">
        <v>462</v>
      </c>
    </row>
    <row r="714" spans="1:5" x14ac:dyDescent="0.2">
      <c r="A714" s="290" t="s">
        <v>872</v>
      </c>
      <c r="B714" s="109" t="s">
        <v>464</v>
      </c>
      <c r="C714" s="89" t="s">
        <v>34</v>
      </c>
      <c r="D714" s="90">
        <f>(D715*D716)-D717</f>
        <v>24.193999999999999</v>
      </c>
      <c r="E714" s="86" t="s">
        <v>1074</v>
      </c>
    </row>
    <row r="715" spans="1:5" x14ac:dyDescent="0.2">
      <c r="A715" s="291"/>
      <c r="B715" s="109" t="s">
        <v>439</v>
      </c>
      <c r="C715" s="89" t="s">
        <v>33</v>
      </c>
      <c r="D715" s="91">
        <f>(2*4.1)+(2*3.08)</f>
        <v>14.36</v>
      </c>
      <c r="E715" s="86" t="s">
        <v>465</v>
      </c>
    </row>
    <row r="716" spans="1:5" x14ac:dyDescent="0.2">
      <c r="A716" s="291"/>
      <c r="B716" s="109" t="s">
        <v>440</v>
      </c>
      <c r="C716" s="89" t="s">
        <v>33</v>
      </c>
      <c r="D716" s="91">
        <v>1.9</v>
      </c>
      <c r="E716" s="86">
        <v>1.9</v>
      </c>
    </row>
    <row r="717" spans="1:5" x14ac:dyDescent="0.2">
      <c r="A717" s="292"/>
      <c r="B717" s="109" t="s">
        <v>445</v>
      </c>
      <c r="C717" s="98" t="s">
        <v>34</v>
      </c>
      <c r="D717" s="91">
        <f>(0.9*2.1)+(1.2*1)</f>
        <v>3.09</v>
      </c>
      <c r="E717" s="86" t="s">
        <v>466</v>
      </c>
    </row>
    <row r="718" spans="1:5" x14ac:dyDescent="0.2">
      <c r="A718" s="290" t="s">
        <v>873</v>
      </c>
      <c r="B718" s="109" t="s">
        <v>468</v>
      </c>
      <c r="C718" s="89" t="s">
        <v>34</v>
      </c>
      <c r="D718" s="90">
        <f>(D719*D720)-D721</f>
        <v>24.193999999999999</v>
      </c>
      <c r="E718" s="86" t="s">
        <v>1074</v>
      </c>
    </row>
    <row r="719" spans="1:5" x14ac:dyDescent="0.2">
      <c r="A719" s="291"/>
      <c r="B719" s="109" t="s">
        <v>439</v>
      </c>
      <c r="C719" s="89" t="s">
        <v>33</v>
      </c>
      <c r="D719" s="91">
        <f>(2*4.1)+(2*3.08)</f>
        <v>14.36</v>
      </c>
      <c r="E719" s="86" t="s">
        <v>465</v>
      </c>
    </row>
    <row r="720" spans="1:5" x14ac:dyDescent="0.2">
      <c r="A720" s="291"/>
      <c r="B720" s="109" t="s">
        <v>440</v>
      </c>
      <c r="C720" s="89" t="s">
        <v>33</v>
      </c>
      <c r="D720" s="91">
        <v>1.9</v>
      </c>
      <c r="E720" s="86">
        <v>1.9</v>
      </c>
    </row>
    <row r="721" spans="1:5" x14ac:dyDescent="0.2">
      <c r="A721" s="292"/>
      <c r="B721" s="109" t="s">
        <v>445</v>
      </c>
      <c r="C721" s="98" t="s">
        <v>34</v>
      </c>
      <c r="D721" s="91">
        <f>(0.9*2.1)+(1.2*1)</f>
        <v>3.09</v>
      </c>
      <c r="E721" s="86" t="s">
        <v>466</v>
      </c>
    </row>
    <row r="722" spans="1:5" x14ac:dyDescent="0.2">
      <c r="A722" s="290" t="s">
        <v>874</v>
      </c>
      <c r="B722" s="109" t="s">
        <v>438</v>
      </c>
      <c r="C722" s="89" t="s">
        <v>34</v>
      </c>
      <c r="D722" s="90">
        <f>(D723*D724)-D725</f>
        <v>16.32</v>
      </c>
      <c r="E722" s="86" t="s">
        <v>1075</v>
      </c>
    </row>
    <row r="723" spans="1:5" x14ac:dyDescent="0.2">
      <c r="A723" s="291"/>
      <c r="B723" s="109" t="s">
        <v>439</v>
      </c>
      <c r="C723" s="89" t="s">
        <v>33</v>
      </c>
      <c r="D723" s="91">
        <f>(4*1.5)</f>
        <v>6</v>
      </c>
      <c r="E723" s="86" t="s">
        <v>474</v>
      </c>
    </row>
    <row r="724" spans="1:5" x14ac:dyDescent="0.2">
      <c r="A724" s="291"/>
      <c r="B724" s="109" t="s">
        <v>440</v>
      </c>
      <c r="C724" s="89" t="s">
        <v>33</v>
      </c>
      <c r="D724" s="91">
        <v>3</v>
      </c>
      <c r="E724" s="86">
        <v>3</v>
      </c>
    </row>
    <row r="725" spans="1:5" x14ac:dyDescent="0.2">
      <c r="A725" s="292"/>
      <c r="B725" s="109" t="s">
        <v>445</v>
      </c>
      <c r="C725" s="98" t="s">
        <v>34</v>
      </c>
      <c r="D725" s="91">
        <f>0.8*2.1</f>
        <v>1.6800000000000002</v>
      </c>
      <c r="E725" s="86" t="s">
        <v>475</v>
      </c>
    </row>
    <row r="726" spans="1:5" x14ac:dyDescent="0.2">
      <c r="A726" s="290" t="s">
        <v>875</v>
      </c>
      <c r="B726" s="109" t="s">
        <v>955</v>
      </c>
      <c r="C726" s="89" t="s">
        <v>34</v>
      </c>
      <c r="D726" s="90">
        <f>(D727*D728)-D729</f>
        <v>5.67</v>
      </c>
      <c r="E726" s="86" t="s">
        <v>1081</v>
      </c>
    </row>
    <row r="727" spans="1:5" x14ac:dyDescent="0.2">
      <c r="A727" s="291"/>
      <c r="B727" s="109" t="s">
        <v>439</v>
      </c>
      <c r="C727" s="89" t="s">
        <v>33</v>
      </c>
      <c r="D727" s="91">
        <f>(4.25+1)</f>
        <v>5.25</v>
      </c>
      <c r="E727" s="86" t="s">
        <v>477</v>
      </c>
    </row>
    <row r="728" spans="1:5" x14ac:dyDescent="0.2">
      <c r="A728" s="291"/>
      <c r="B728" s="109" t="s">
        <v>440</v>
      </c>
      <c r="C728" s="89" t="s">
        <v>33</v>
      </c>
      <c r="D728" s="91">
        <v>1.4</v>
      </c>
      <c r="E728" s="86">
        <v>1.4</v>
      </c>
    </row>
    <row r="729" spans="1:5" x14ac:dyDescent="0.2">
      <c r="A729" s="292"/>
      <c r="B729" s="109" t="s">
        <v>445</v>
      </c>
      <c r="C729" s="98" t="s">
        <v>34</v>
      </c>
      <c r="D729" s="91">
        <f>0.8*2.1</f>
        <v>1.6800000000000002</v>
      </c>
      <c r="E729" s="86" t="s">
        <v>475</v>
      </c>
    </row>
    <row r="730" spans="1:5" x14ac:dyDescent="0.2">
      <c r="A730" s="290" t="s">
        <v>876</v>
      </c>
      <c r="B730" s="109" t="s">
        <v>470</v>
      </c>
      <c r="C730" s="89" t="s">
        <v>34</v>
      </c>
      <c r="D730" s="90">
        <f>(D731*D732)-D733</f>
        <v>24.060000000000002</v>
      </c>
      <c r="E730" s="86" t="s">
        <v>1076</v>
      </c>
    </row>
    <row r="731" spans="1:5" x14ac:dyDescent="0.2">
      <c r="A731" s="291"/>
      <c r="B731" s="109" t="s">
        <v>439</v>
      </c>
      <c r="C731" s="89" t="s">
        <v>33</v>
      </c>
      <c r="D731" s="91">
        <f>(2.05*2)+(2.65)+(1.9)</f>
        <v>8.65</v>
      </c>
      <c r="E731" s="86" t="s">
        <v>478</v>
      </c>
    </row>
    <row r="732" spans="1:5" x14ac:dyDescent="0.2">
      <c r="A732" s="291"/>
      <c r="B732" s="109" t="s">
        <v>440</v>
      </c>
      <c r="C732" s="89" t="s">
        <v>33</v>
      </c>
      <c r="D732" s="91">
        <v>3</v>
      </c>
      <c r="E732" s="86">
        <v>3</v>
      </c>
    </row>
    <row r="733" spans="1:5" x14ac:dyDescent="0.2">
      <c r="A733" s="292"/>
      <c r="B733" s="109" t="s">
        <v>445</v>
      </c>
      <c r="C733" s="98" t="s">
        <v>34</v>
      </c>
      <c r="D733" s="91">
        <f>(0.9*2.1)</f>
        <v>1.8900000000000001</v>
      </c>
      <c r="E733" s="86" t="s">
        <v>479</v>
      </c>
    </row>
    <row r="734" spans="1:5" x14ac:dyDescent="0.2">
      <c r="A734" s="290" t="s">
        <v>877</v>
      </c>
      <c r="B734" s="109" t="s">
        <v>471</v>
      </c>
      <c r="C734" s="89" t="s">
        <v>34</v>
      </c>
      <c r="D734" s="90">
        <f>(D735*D736)-D737</f>
        <v>25.700000000000003</v>
      </c>
      <c r="E734" s="86" t="s">
        <v>1077</v>
      </c>
    </row>
    <row r="735" spans="1:5" x14ac:dyDescent="0.2">
      <c r="A735" s="291"/>
      <c r="B735" s="109" t="s">
        <v>439</v>
      </c>
      <c r="C735" s="89" t="s">
        <v>33</v>
      </c>
      <c r="D735" s="91">
        <f>(2.05*2)+(2.65)+(1.9)</f>
        <v>8.65</v>
      </c>
      <c r="E735" s="86" t="s">
        <v>478</v>
      </c>
    </row>
    <row r="736" spans="1:5" x14ac:dyDescent="0.2">
      <c r="A736" s="291"/>
      <c r="B736" s="109" t="s">
        <v>440</v>
      </c>
      <c r="C736" s="89" t="s">
        <v>33</v>
      </c>
      <c r="D736" s="91">
        <v>3</v>
      </c>
      <c r="E736" s="86">
        <v>3</v>
      </c>
    </row>
    <row r="737" spans="1:5" x14ac:dyDescent="0.2">
      <c r="A737" s="292"/>
      <c r="B737" s="109" t="s">
        <v>445</v>
      </c>
      <c r="C737" s="98" t="s">
        <v>34</v>
      </c>
      <c r="D737" s="91">
        <f>0.5*0.5</f>
        <v>0.25</v>
      </c>
      <c r="E737" s="86" t="s">
        <v>480</v>
      </c>
    </row>
    <row r="738" spans="1:5" x14ac:dyDescent="0.2">
      <c r="A738" s="290" t="s">
        <v>878</v>
      </c>
      <c r="B738" s="109" t="s">
        <v>472</v>
      </c>
      <c r="C738" s="89" t="s">
        <v>34</v>
      </c>
      <c r="D738" s="90">
        <f>(D739*D740)-D741</f>
        <v>21.72</v>
      </c>
      <c r="E738" s="86" t="s">
        <v>1078</v>
      </c>
    </row>
    <row r="739" spans="1:5" x14ac:dyDescent="0.2">
      <c r="A739" s="291"/>
      <c r="B739" s="109" t="s">
        <v>439</v>
      </c>
      <c r="C739" s="89" t="s">
        <v>33</v>
      </c>
      <c r="D739" s="91">
        <f>(3.08*2)+(1.3*2)</f>
        <v>8.76</v>
      </c>
      <c r="E739" s="86" t="s">
        <v>483</v>
      </c>
    </row>
    <row r="740" spans="1:5" x14ac:dyDescent="0.2">
      <c r="A740" s="291"/>
      <c r="B740" s="109" t="s">
        <v>440</v>
      </c>
      <c r="C740" s="89" t="s">
        <v>33</v>
      </c>
      <c r="D740" s="91">
        <v>3</v>
      </c>
      <c r="E740" s="86">
        <v>3</v>
      </c>
    </row>
    <row r="741" spans="1:5" x14ac:dyDescent="0.2">
      <c r="A741" s="292"/>
      <c r="B741" s="109" t="s">
        <v>445</v>
      </c>
      <c r="C741" s="98" t="s">
        <v>34</v>
      </c>
      <c r="D741" s="91">
        <f>(2*1.2*1)+(1.2*1.8)</f>
        <v>4.5600000000000005</v>
      </c>
      <c r="E741" s="86" t="s">
        <v>484</v>
      </c>
    </row>
    <row r="742" spans="1:5" x14ac:dyDescent="0.2">
      <c r="A742" s="290" t="s">
        <v>879</v>
      </c>
      <c r="B742" s="109" t="s">
        <v>530</v>
      </c>
      <c r="C742" s="89" t="s">
        <v>34</v>
      </c>
      <c r="D742" s="90">
        <f>(D743*D744)-D745</f>
        <v>30.360000000000003</v>
      </c>
      <c r="E742" s="86" t="s">
        <v>1079</v>
      </c>
    </row>
    <row r="743" spans="1:5" x14ac:dyDescent="0.2">
      <c r="A743" s="291"/>
      <c r="B743" s="109" t="s">
        <v>439</v>
      </c>
      <c r="C743" s="89" t="s">
        <v>33</v>
      </c>
      <c r="D743" s="91">
        <f>(3*2)+(2.54*2)</f>
        <v>11.08</v>
      </c>
      <c r="E743" s="86" t="s">
        <v>486</v>
      </c>
    </row>
    <row r="744" spans="1:5" x14ac:dyDescent="0.2">
      <c r="A744" s="291"/>
      <c r="B744" s="109" t="s">
        <v>440</v>
      </c>
      <c r="C744" s="89" t="s">
        <v>33</v>
      </c>
      <c r="D744" s="91">
        <v>3</v>
      </c>
      <c r="E744" s="86">
        <v>3</v>
      </c>
    </row>
    <row r="745" spans="1:5" x14ac:dyDescent="0.2">
      <c r="A745" s="292"/>
      <c r="B745" s="109" t="s">
        <v>445</v>
      </c>
      <c r="C745" s="98" t="s">
        <v>34</v>
      </c>
      <c r="D745" s="91">
        <f>(1.2*1)+(0.8*2.1)</f>
        <v>2.88</v>
      </c>
      <c r="E745" s="86" t="s">
        <v>487</v>
      </c>
    </row>
    <row r="746" spans="1:5" x14ac:dyDescent="0.2">
      <c r="A746" s="290" t="s">
        <v>880</v>
      </c>
      <c r="B746" s="121" t="s">
        <v>489</v>
      </c>
      <c r="C746" s="89" t="s">
        <v>34</v>
      </c>
      <c r="D746" s="90">
        <f>(D747*D748)-D749</f>
        <v>8.7119999999999997</v>
      </c>
      <c r="E746" s="86" t="s">
        <v>1080</v>
      </c>
    </row>
    <row r="747" spans="1:5" x14ac:dyDescent="0.2">
      <c r="A747" s="291"/>
      <c r="B747" s="109" t="s">
        <v>439</v>
      </c>
      <c r="C747" s="89" t="s">
        <v>33</v>
      </c>
      <c r="D747" s="91">
        <v>7.08</v>
      </c>
      <c r="E747" s="86">
        <v>7.08</v>
      </c>
    </row>
    <row r="748" spans="1:5" x14ac:dyDescent="0.2">
      <c r="A748" s="291"/>
      <c r="B748" s="109" t="s">
        <v>440</v>
      </c>
      <c r="C748" s="89" t="s">
        <v>33</v>
      </c>
      <c r="D748" s="91">
        <v>1.4</v>
      </c>
      <c r="E748" s="86">
        <v>1.4</v>
      </c>
    </row>
    <row r="749" spans="1:5" x14ac:dyDescent="0.2">
      <c r="A749" s="292"/>
      <c r="B749" s="109" t="s">
        <v>445</v>
      </c>
      <c r="C749" s="98" t="s">
        <v>34</v>
      </c>
      <c r="D749" s="91">
        <f>(1.2*1)</f>
        <v>1.2</v>
      </c>
      <c r="E749" s="86" t="s">
        <v>491</v>
      </c>
    </row>
    <row r="750" spans="1:5" x14ac:dyDescent="0.2">
      <c r="A750" s="290" t="s">
        <v>881</v>
      </c>
      <c r="B750" s="109" t="s">
        <v>529</v>
      </c>
      <c r="C750" s="89" t="s">
        <v>34</v>
      </c>
      <c r="D750" s="90">
        <f>(D751*D752)-D753</f>
        <v>13.309999999999999</v>
      </c>
      <c r="E750" s="86" t="s">
        <v>1082</v>
      </c>
    </row>
    <row r="751" spans="1:5" x14ac:dyDescent="0.2">
      <c r="A751" s="291"/>
      <c r="B751" s="109" t="s">
        <v>439</v>
      </c>
      <c r="C751" s="89" t="s">
        <v>33</v>
      </c>
      <c r="D751" s="91">
        <f>(2*2.5)+(2*1.5)</f>
        <v>8</v>
      </c>
      <c r="E751" s="86" t="s">
        <v>493</v>
      </c>
    </row>
    <row r="752" spans="1:5" x14ac:dyDescent="0.2">
      <c r="A752" s="291"/>
      <c r="B752" s="109" t="s">
        <v>440</v>
      </c>
      <c r="C752" s="89" t="s">
        <v>33</v>
      </c>
      <c r="D752" s="91">
        <v>1.9</v>
      </c>
      <c r="E752" s="86">
        <v>1.9</v>
      </c>
    </row>
    <row r="753" spans="1:5" x14ac:dyDescent="0.2">
      <c r="A753" s="292"/>
      <c r="B753" s="109" t="s">
        <v>445</v>
      </c>
      <c r="C753" s="98" t="s">
        <v>34</v>
      </c>
      <c r="D753" s="91">
        <f>(0.9*2.1)</f>
        <v>1.8900000000000001</v>
      </c>
      <c r="E753" s="86" t="s">
        <v>479</v>
      </c>
    </row>
    <row r="754" spans="1:5" x14ac:dyDescent="0.2">
      <c r="A754" s="290" t="s">
        <v>882</v>
      </c>
      <c r="B754" s="109" t="s">
        <v>495</v>
      </c>
      <c r="C754" s="89" t="s">
        <v>34</v>
      </c>
      <c r="D754" s="90">
        <f>(D755*D756)-D757</f>
        <v>8.0299999999999994</v>
      </c>
      <c r="E754" s="86" t="s">
        <v>1083</v>
      </c>
    </row>
    <row r="755" spans="1:5" x14ac:dyDescent="0.2">
      <c r="A755" s="291"/>
      <c r="B755" s="109" t="s">
        <v>439</v>
      </c>
      <c r="C755" s="89" t="s">
        <v>33</v>
      </c>
      <c r="D755" s="91">
        <f>(2*1.5)+(2*1)</f>
        <v>5</v>
      </c>
      <c r="E755" s="86" t="s">
        <v>496</v>
      </c>
    </row>
    <row r="756" spans="1:5" x14ac:dyDescent="0.2">
      <c r="A756" s="291"/>
      <c r="B756" s="109" t="s">
        <v>440</v>
      </c>
      <c r="C756" s="89" t="s">
        <v>33</v>
      </c>
      <c r="D756" s="91">
        <v>1.9</v>
      </c>
      <c r="E756" s="86">
        <v>1.9</v>
      </c>
    </row>
    <row r="757" spans="1:5" x14ac:dyDescent="0.2">
      <c r="A757" s="292"/>
      <c r="B757" s="109" t="s">
        <v>445</v>
      </c>
      <c r="C757" s="98" t="s">
        <v>34</v>
      </c>
      <c r="D757" s="91">
        <f>(0.7*2.1)</f>
        <v>1.47</v>
      </c>
      <c r="E757" s="86" t="s">
        <v>497</v>
      </c>
    </row>
    <row r="758" spans="1:5" x14ac:dyDescent="0.2">
      <c r="A758" s="290" t="s">
        <v>883</v>
      </c>
      <c r="B758" s="109" t="s">
        <v>499</v>
      </c>
      <c r="C758" s="89" t="s">
        <v>34</v>
      </c>
      <c r="D758" s="90">
        <f>(D759*D760)-D761</f>
        <v>20.159999999999997</v>
      </c>
      <c r="E758" s="86" t="s">
        <v>1084</v>
      </c>
    </row>
    <row r="759" spans="1:5" x14ac:dyDescent="0.2">
      <c r="A759" s="291"/>
      <c r="B759" s="109" t="s">
        <v>439</v>
      </c>
      <c r="C759" s="89" t="s">
        <v>33</v>
      </c>
      <c r="D759" s="91">
        <f>(2*2.5+2*3.8)</f>
        <v>12.6</v>
      </c>
      <c r="E759" s="86" t="s">
        <v>500</v>
      </c>
    </row>
    <row r="760" spans="1:5" x14ac:dyDescent="0.2">
      <c r="A760" s="291"/>
      <c r="B760" s="109" t="s">
        <v>440</v>
      </c>
      <c r="C760" s="89" t="s">
        <v>33</v>
      </c>
      <c r="D760" s="91">
        <v>1.9</v>
      </c>
      <c r="E760" s="86">
        <v>1.9</v>
      </c>
    </row>
    <row r="761" spans="1:5" x14ac:dyDescent="0.2">
      <c r="A761" s="292"/>
      <c r="B761" s="109" t="s">
        <v>445</v>
      </c>
      <c r="C761" s="98" t="s">
        <v>34</v>
      </c>
      <c r="D761" s="91">
        <f>(2*0.9*2.1)</f>
        <v>3.7800000000000002</v>
      </c>
      <c r="E761" s="86" t="s">
        <v>501</v>
      </c>
    </row>
    <row r="762" spans="1:5" x14ac:dyDescent="0.2">
      <c r="A762" s="290" t="s">
        <v>884</v>
      </c>
      <c r="B762" s="121" t="s">
        <v>506</v>
      </c>
      <c r="C762" s="89" t="s">
        <v>34</v>
      </c>
      <c r="D762" s="90">
        <f>(D763*D764)-D765</f>
        <v>17.439999999999998</v>
      </c>
      <c r="E762" s="162" t="s">
        <v>1085</v>
      </c>
    </row>
    <row r="763" spans="1:5" x14ac:dyDescent="0.2">
      <c r="A763" s="291"/>
      <c r="B763" s="109" t="s">
        <v>439</v>
      </c>
      <c r="C763" s="89" t="s">
        <v>33</v>
      </c>
      <c r="D763" s="91">
        <f>(2*3.15)+(2*2.5)</f>
        <v>11.3</v>
      </c>
      <c r="E763" s="86" t="s">
        <v>503</v>
      </c>
    </row>
    <row r="764" spans="1:5" x14ac:dyDescent="0.2">
      <c r="A764" s="291"/>
      <c r="B764" s="109" t="s">
        <v>440</v>
      </c>
      <c r="C764" s="89" t="s">
        <v>33</v>
      </c>
      <c r="D764" s="91">
        <v>1.9</v>
      </c>
      <c r="E764" s="86">
        <v>1.9</v>
      </c>
    </row>
    <row r="765" spans="1:5" x14ac:dyDescent="0.2">
      <c r="A765" s="292"/>
      <c r="B765" s="109" t="s">
        <v>445</v>
      </c>
      <c r="C765" s="98" t="s">
        <v>34</v>
      </c>
      <c r="D765" s="91">
        <f>(0.9*2.1)+(0.9*2.1)+(0.5*0.5)</f>
        <v>4.03</v>
      </c>
      <c r="E765" s="86" t="s">
        <v>504</v>
      </c>
    </row>
    <row r="766" spans="1:5" x14ac:dyDescent="0.2">
      <c r="A766" s="290" t="s">
        <v>885</v>
      </c>
      <c r="B766" s="121" t="s">
        <v>507</v>
      </c>
      <c r="C766" s="89" t="s">
        <v>34</v>
      </c>
      <c r="D766" s="90">
        <f>(D767*D768)-D769</f>
        <v>10.08</v>
      </c>
      <c r="E766" s="86" t="s">
        <v>1086</v>
      </c>
    </row>
    <row r="767" spans="1:5" x14ac:dyDescent="0.2">
      <c r="A767" s="291"/>
      <c r="B767" s="109" t="s">
        <v>439</v>
      </c>
      <c r="C767" s="89" t="s">
        <v>33</v>
      </c>
      <c r="D767" s="91">
        <f>(2)+(4*0.9)</f>
        <v>5.6</v>
      </c>
      <c r="E767" s="85" t="s">
        <v>508</v>
      </c>
    </row>
    <row r="768" spans="1:5" x14ac:dyDescent="0.2">
      <c r="A768" s="291"/>
      <c r="B768" s="109" t="s">
        <v>440</v>
      </c>
      <c r="C768" s="89" t="s">
        <v>33</v>
      </c>
      <c r="D768" s="91">
        <v>1.8</v>
      </c>
      <c r="E768" s="85">
        <v>1.8</v>
      </c>
    </row>
    <row r="769" spans="1:5" x14ac:dyDescent="0.2">
      <c r="A769" s="292"/>
      <c r="B769" s="109" t="s">
        <v>445</v>
      </c>
      <c r="C769" s="98" t="s">
        <v>34</v>
      </c>
      <c r="D769" s="91">
        <v>0</v>
      </c>
      <c r="E769" s="85">
        <v>0</v>
      </c>
    </row>
    <row r="770" spans="1:5" ht="38.25" x14ac:dyDescent="0.2">
      <c r="A770" s="290" t="s">
        <v>886</v>
      </c>
      <c r="B770" s="121" t="s">
        <v>510</v>
      </c>
      <c r="C770" s="89" t="s">
        <v>34</v>
      </c>
      <c r="D770" s="90">
        <f>(68.07*3.3)-((2*0.8*1.8)+(3*0.4*0.4)+(7*1.2*1)+(1*1)+(0.9*2.1)+(2*0.8*2.1)+(1.2*2.1)+(1.3*2.1))</f>
        <v>201.37099999999998</v>
      </c>
      <c r="E770" s="85" t="s">
        <v>1112</v>
      </c>
    </row>
    <row r="771" spans="1:5" x14ac:dyDescent="0.2">
      <c r="A771" s="291"/>
      <c r="B771" s="109" t="s">
        <v>439</v>
      </c>
      <c r="C771" s="89" t="s">
        <v>33</v>
      </c>
      <c r="D771" s="91">
        <v>68.069999999999993</v>
      </c>
      <c r="E771" s="85">
        <v>68.069999999999993</v>
      </c>
    </row>
    <row r="772" spans="1:5" x14ac:dyDescent="0.2">
      <c r="A772" s="291"/>
      <c r="B772" s="181" t="s">
        <v>440</v>
      </c>
      <c r="C772" s="182" t="s">
        <v>33</v>
      </c>
      <c r="D772" s="183">
        <v>3.3</v>
      </c>
      <c r="E772" s="184">
        <v>3.3</v>
      </c>
    </row>
    <row r="773" spans="1:5" ht="25.5" x14ac:dyDescent="0.2">
      <c r="A773" s="292"/>
      <c r="B773" s="109" t="s">
        <v>445</v>
      </c>
      <c r="C773" s="98" t="s">
        <v>34</v>
      </c>
      <c r="D773" s="91">
        <f>(2*0.8*1.8)+(3*0.4*0.4)+(7*1.2*1)+(1*1)+(0.9*2.1)+(2*0.8*2.1)+(1.2*2.1)+(1.3*2.1)</f>
        <v>23.26</v>
      </c>
      <c r="E773" s="85" t="s">
        <v>511</v>
      </c>
    </row>
    <row r="774" spans="1:5" ht="25.5" x14ac:dyDescent="0.2">
      <c r="A774" s="290" t="s">
        <v>887</v>
      </c>
      <c r="B774" s="121" t="s">
        <v>513</v>
      </c>
      <c r="C774" s="6" t="s">
        <v>34</v>
      </c>
      <c r="D774" s="90">
        <f>(D776*D775)-D777</f>
        <v>32.76</v>
      </c>
      <c r="E774" s="146" t="s">
        <v>1087</v>
      </c>
    </row>
    <row r="775" spans="1:5" x14ac:dyDescent="0.2">
      <c r="A775" s="291"/>
      <c r="B775" s="109" t="s">
        <v>439</v>
      </c>
      <c r="C775" s="6" t="s">
        <v>33</v>
      </c>
      <c r="D775" s="91">
        <f>(4*2.1)+(4*0.8)+(2*1.1)</f>
        <v>13.8</v>
      </c>
      <c r="E775" s="85" t="s">
        <v>514</v>
      </c>
    </row>
    <row r="776" spans="1:5" x14ac:dyDescent="0.2">
      <c r="A776" s="291"/>
      <c r="B776" s="109" t="s">
        <v>440</v>
      </c>
      <c r="C776" s="6" t="s">
        <v>33</v>
      </c>
      <c r="D776" s="91">
        <v>2.8</v>
      </c>
      <c r="E776" s="85">
        <v>2.8</v>
      </c>
    </row>
    <row r="777" spans="1:5" x14ac:dyDescent="0.2">
      <c r="A777" s="292"/>
      <c r="B777" s="109" t="s">
        <v>445</v>
      </c>
      <c r="C777" s="6" t="s">
        <v>34</v>
      </c>
      <c r="D777" s="58">
        <f>0.7*2.1*4</f>
        <v>5.88</v>
      </c>
      <c r="E777" s="67" t="s">
        <v>533</v>
      </c>
    </row>
    <row r="778" spans="1:5" ht="51" x14ac:dyDescent="0.2">
      <c r="A778" s="10" t="s">
        <v>888</v>
      </c>
      <c r="B778" s="55" t="s">
        <v>571</v>
      </c>
      <c r="C778" s="6" t="s">
        <v>34</v>
      </c>
      <c r="D778" s="88">
        <f>(0.15+18.2+0.15+15.27+0.15+8.25+0.15+2.19+0.15+2.4+0.15+4.6+1+2.84+0.15+6.1+0.15+11.17)*1+(0.15+1.8+0.15+3.08+3.08)*1.6+(1.8+0.15+0.15+1.6+0.15+1.8+0.15+1.6)*2.6</f>
        <v>105.67599999999999</v>
      </c>
      <c r="E778" s="59" t="s">
        <v>575</v>
      </c>
    </row>
    <row r="779" spans="1:5" ht="25.5" x14ac:dyDescent="0.2">
      <c r="A779" s="10" t="s">
        <v>956</v>
      </c>
      <c r="B779" s="109" t="s">
        <v>856</v>
      </c>
      <c r="C779" s="6" t="s">
        <v>34</v>
      </c>
      <c r="D779" s="150">
        <f>(0.4*4.22*2+0.2*4.22+0.2*3.82)*5+(0.4*2*1.94+0.2*1.94+2.34*0.2)*5</f>
        <v>36.96</v>
      </c>
      <c r="E779" s="146" t="s">
        <v>857</v>
      </c>
    </row>
    <row r="780" spans="1:5" ht="38.25" x14ac:dyDescent="0.2">
      <c r="A780" s="10" t="s">
        <v>957</v>
      </c>
      <c r="B780" s="109" t="s">
        <v>418</v>
      </c>
      <c r="C780" s="6" t="s">
        <v>34</v>
      </c>
      <c r="D780" s="90">
        <f>2.852*19.65+2.7*10*1.8+1.2*2*2.5*10+(2.852+2.5)*1.65+((2.7+2.5)*1.65*9/2)+0.15*2.5*10+3.425*1.6*11+0.15*9*2.5</f>
        <v>279.48760000000004</v>
      </c>
      <c r="E780" s="85" t="s">
        <v>553</v>
      </c>
    </row>
    <row r="781" spans="1:5" ht="25.5" x14ac:dyDescent="0.2">
      <c r="A781" s="10" t="s">
        <v>958</v>
      </c>
      <c r="B781" s="109" t="s">
        <v>419</v>
      </c>
      <c r="C781" s="6" t="s">
        <v>34</v>
      </c>
      <c r="D781" s="90">
        <f>2.925*2.82+2.625*2.8+7.075*2.8*2+2.9*2.8*2.4+1.5*2.4*2</f>
        <v>81.906499999999994</v>
      </c>
      <c r="E781" s="85" t="s">
        <v>554</v>
      </c>
    </row>
    <row r="782" spans="1:5" ht="38.25" x14ac:dyDescent="0.2">
      <c r="A782" s="10" t="s">
        <v>1044</v>
      </c>
      <c r="B782" s="109" t="s">
        <v>1043</v>
      </c>
      <c r="C782" s="6" t="s">
        <v>34</v>
      </c>
      <c r="D782" s="90">
        <f>10.41+10.41+12.63+23.77+7.79+7.79+13.04+1.5+5.22+12.63+4.97+7.2+4.92+3.23+5.05+7.62+2.25+4.25+9.4+3.75+5.05+7.95+3.68</f>
        <v>174.51000000000002</v>
      </c>
      <c r="E782" s="85" t="s">
        <v>433</v>
      </c>
    </row>
    <row r="783" spans="1:5" x14ac:dyDescent="0.2">
      <c r="A783" s="10" t="s">
        <v>235</v>
      </c>
      <c r="B783" s="1" t="s">
        <v>1088</v>
      </c>
      <c r="C783" s="6" t="s">
        <v>34</v>
      </c>
      <c r="D783" s="90">
        <f>SUM(D784,D787,D790,D793,D796,D799,D802,D805,D808,D811,D814)</f>
        <v>178.97000000000006</v>
      </c>
      <c r="E783" s="85"/>
    </row>
    <row r="784" spans="1:5" ht="25.5" x14ac:dyDescent="0.2">
      <c r="A784" s="353" t="s">
        <v>1093</v>
      </c>
      <c r="B784" s="109" t="s">
        <v>444</v>
      </c>
      <c r="C784" s="89" t="s">
        <v>34</v>
      </c>
      <c r="D784" s="90">
        <f>(D785*D786)</f>
        <v>19.206000000000003</v>
      </c>
      <c r="E784" s="145" t="s">
        <v>1104</v>
      </c>
    </row>
    <row r="785" spans="1:5" x14ac:dyDescent="0.2">
      <c r="A785" s="354"/>
      <c r="B785" s="109" t="s">
        <v>439</v>
      </c>
      <c r="C785" s="89" t="s">
        <v>33</v>
      </c>
      <c r="D785" s="91">
        <f>(3.3+4.25+2.31+3.95+2.15+1.5)</f>
        <v>17.46</v>
      </c>
      <c r="E785" s="145" t="s">
        <v>443</v>
      </c>
    </row>
    <row r="786" spans="1:5" x14ac:dyDescent="0.2">
      <c r="A786" s="354"/>
      <c r="B786" s="109" t="s">
        <v>440</v>
      </c>
      <c r="C786" s="89" t="s">
        <v>33</v>
      </c>
      <c r="D786" s="91">
        <v>1.1000000000000001</v>
      </c>
      <c r="E786" s="145">
        <v>1.1000000000000001</v>
      </c>
    </row>
    <row r="787" spans="1:5" x14ac:dyDescent="0.2">
      <c r="A787" s="353" t="s">
        <v>1094</v>
      </c>
      <c r="B787" s="109" t="s">
        <v>454</v>
      </c>
      <c r="C787" s="89" t="s">
        <v>34</v>
      </c>
      <c r="D787" s="90">
        <f>D788*D789</f>
        <v>14.608000000000001</v>
      </c>
      <c r="E787" s="86" t="s">
        <v>1113</v>
      </c>
    </row>
    <row r="788" spans="1:5" x14ac:dyDescent="0.2">
      <c r="A788" s="354"/>
      <c r="B788" s="109" t="s">
        <v>439</v>
      </c>
      <c r="C788" s="89" t="s">
        <v>33</v>
      </c>
      <c r="D788" s="91">
        <f>(2*2.54)+(4.1*2)</f>
        <v>13.28</v>
      </c>
      <c r="E788" s="86" t="s">
        <v>451</v>
      </c>
    </row>
    <row r="789" spans="1:5" x14ac:dyDescent="0.2">
      <c r="A789" s="354"/>
      <c r="B789" s="109" t="s">
        <v>440</v>
      </c>
      <c r="C789" s="89" t="s">
        <v>33</v>
      </c>
      <c r="D789" s="91">
        <v>1.1000000000000001</v>
      </c>
      <c r="E789" s="86">
        <v>1.1000000000000001</v>
      </c>
    </row>
    <row r="790" spans="1:5" x14ac:dyDescent="0.2">
      <c r="A790" s="353" t="s">
        <v>1095</v>
      </c>
      <c r="B790" s="109" t="s">
        <v>455</v>
      </c>
      <c r="C790" s="89" t="s">
        <v>34</v>
      </c>
      <c r="D790" s="90">
        <f>D791*D792</f>
        <v>14.608000000000001</v>
      </c>
      <c r="E790" s="86" t="s">
        <v>1114</v>
      </c>
    </row>
    <row r="791" spans="1:5" x14ac:dyDescent="0.2">
      <c r="A791" s="354"/>
      <c r="B791" s="109" t="s">
        <v>439</v>
      </c>
      <c r="C791" s="89" t="s">
        <v>33</v>
      </c>
      <c r="D791" s="91">
        <f>(2*2.54)+(4.1*2)</f>
        <v>13.28</v>
      </c>
      <c r="E791" s="86" t="s">
        <v>451</v>
      </c>
    </row>
    <row r="792" spans="1:5" x14ac:dyDescent="0.2">
      <c r="A792" s="354"/>
      <c r="B792" s="109" t="s">
        <v>440</v>
      </c>
      <c r="C792" s="89" t="s">
        <v>33</v>
      </c>
      <c r="D792" s="91">
        <v>1.1000000000000001</v>
      </c>
      <c r="E792" s="86">
        <v>1.1000000000000001</v>
      </c>
    </row>
    <row r="793" spans="1:5" ht="25.5" x14ac:dyDescent="0.2">
      <c r="A793" s="353" t="s">
        <v>1096</v>
      </c>
      <c r="B793" s="109" t="s">
        <v>459</v>
      </c>
      <c r="C793" s="89" t="s">
        <v>34</v>
      </c>
      <c r="D793" s="90">
        <f>(D794*D795)</f>
        <v>46.706000000000003</v>
      </c>
      <c r="E793" s="86" t="s">
        <v>1115</v>
      </c>
    </row>
    <row r="794" spans="1:5" x14ac:dyDescent="0.2">
      <c r="A794" s="354"/>
      <c r="B794" s="109" t="s">
        <v>439</v>
      </c>
      <c r="C794" s="89" t="s">
        <v>33</v>
      </c>
      <c r="D794" s="91">
        <f>39.91+1.2+1.35</f>
        <v>42.46</v>
      </c>
      <c r="E794" s="86" t="s">
        <v>456</v>
      </c>
    </row>
    <row r="795" spans="1:5" x14ac:dyDescent="0.2">
      <c r="A795" s="354"/>
      <c r="B795" s="109" t="s">
        <v>440</v>
      </c>
      <c r="C795" s="89" t="s">
        <v>33</v>
      </c>
      <c r="D795" s="91">
        <v>1.1000000000000001</v>
      </c>
      <c r="E795" s="86">
        <v>1.1000000000000001</v>
      </c>
    </row>
    <row r="796" spans="1:5" x14ac:dyDescent="0.2">
      <c r="A796" s="353" t="s">
        <v>1097</v>
      </c>
      <c r="B796" s="109" t="s">
        <v>460</v>
      </c>
      <c r="C796" s="89" t="s">
        <v>34</v>
      </c>
      <c r="D796" s="90">
        <f>(D797*D798)</f>
        <v>11.66</v>
      </c>
      <c r="E796" s="86" t="s">
        <v>1116</v>
      </c>
    </row>
    <row r="797" spans="1:5" x14ac:dyDescent="0.2">
      <c r="A797" s="354"/>
      <c r="B797" s="109" t="s">
        <v>439</v>
      </c>
      <c r="C797" s="89" t="s">
        <v>33</v>
      </c>
      <c r="D797" s="91">
        <f>(2*4.1)+(2*1.2)</f>
        <v>10.6</v>
      </c>
      <c r="E797" s="86" t="s">
        <v>461</v>
      </c>
    </row>
    <row r="798" spans="1:5" x14ac:dyDescent="0.2">
      <c r="A798" s="354"/>
      <c r="B798" s="109" t="s">
        <v>440</v>
      </c>
      <c r="C798" s="89" t="s">
        <v>33</v>
      </c>
      <c r="D798" s="91">
        <v>1.1000000000000001</v>
      </c>
      <c r="E798" s="86">
        <v>1.1000000000000001</v>
      </c>
    </row>
    <row r="799" spans="1:5" x14ac:dyDescent="0.2">
      <c r="A799" s="353" t="s">
        <v>1098</v>
      </c>
      <c r="B799" s="109" t="s">
        <v>464</v>
      </c>
      <c r="C799" s="89" t="s">
        <v>34</v>
      </c>
      <c r="D799" s="90">
        <f>(D800*D801)</f>
        <v>15.796000000000001</v>
      </c>
      <c r="E799" s="86" t="s">
        <v>1117</v>
      </c>
    </row>
    <row r="800" spans="1:5" x14ac:dyDescent="0.2">
      <c r="A800" s="354"/>
      <c r="B800" s="109" t="s">
        <v>439</v>
      </c>
      <c r="C800" s="89" t="s">
        <v>33</v>
      </c>
      <c r="D800" s="91">
        <f>(2*4.1)+(2*3.08)</f>
        <v>14.36</v>
      </c>
      <c r="E800" s="86" t="s">
        <v>465</v>
      </c>
    </row>
    <row r="801" spans="1:6" x14ac:dyDescent="0.2">
      <c r="A801" s="354"/>
      <c r="B801" s="109" t="s">
        <v>440</v>
      </c>
      <c r="C801" s="89" t="s">
        <v>33</v>
      </c>
      <c r="D801" s="91">
        <v>1.1000000000000001</v>
      </c>
      <c r="E801" s="86">
        <v>1.1000000000000001</v>
      </c>
    </row>
    <row r="802" spans="1:6" x14ac:dyDescent="0.2">
      <c r="A802" s="353" t="s">
        <v>1099</v>
      </c>
      <c r="B802" s="109" t="s">
        <v>468</v>
      </c>
      <c r="C802" s="89" t="s">
        <v>34</v>
      </c>
      <c r="D802" s="90">
        <f>(D803*D804)</f>
        <v>15.796000000000001</v>
      </c>
      <c r="E802" s="86" t="s">
        <v>1117</v>
      </c>
    </row>
    <row r="803" spans="1:6" x14ac:dyDescent="0.2">
      <c r="A803" s="354"/>
      <c r="B803" s="109" t="s">
        <v>439</v>
      </c>
      <c r="C803" s="89" t="s">
        <v>33</v>
      </c>
      <c r="D803" s="91">
        <f>(2*4.1)+(2*3.08)</f>
        <v>14.36</v>
      </c>
      <c r="E803" s="86" t="s">
        <v>465</v>
      </c>
    </row>
    <row r="804" spans="1:6" x14ac:dyDescent="0.2">
      <c r="A804" s="354"/>
      <c r="B804" s="109" t="s">
        <v>440</v>
      </c>
      <c r="C804" s="89" t="s">
        <v>33</v>
      </c>
      <c r="D804" s="91">
        <v>1.1000000000000001</v>
      </c>
      <c r="E804" s="86">
        <v>1.1000000000000001</v>
      </c>
    </row>
    <row r="805" spans="1:6" x14ac:dyDescent="0.2">
      <c r="A805" s="353" t="s">
        <v>1100</v>
      </c>
      <c r="B805" s="109" t="s">
        <v>529</v>
      </c>
      <c r="C805" s="89" t="s">
        <v>34</v>
      </c>
      <c r="D805" s="90">
        <f>(D806*D807)</f>
        <v>8.8000000000000007</v>
      </c>
      <c r="E805" s="86" t="s">
        <v>1118</v>
      </c>
    </row>
    <row r="806" spans="1:6" x14ac:dyDescent="0.2">
      <c r="A806" s="354"/>
      <c r="B806" s="109" t="s">
        <v>439</v>
      </c>
      <c r="C806" s="89" t="s">
        <v>33</v>
      </c>
      <c r="D806" s="91">
        <f>(2*2.5)+(2*1.5)</f>
        <v>8</v>
      </c>
      <c r="E806" s="86" t="s">
        <v>493</v>
      </c>
    </row>
    <row r="807" spans="1:6" x14ac:dyDescent="0.2">
      <c r="A807" s="354"/>
      <c r="B807" s="109" t="s">
        <v>440</v>
      </c>
      <c r="C807" s="89" t="s">
        <v>33</v>
      </c>
      <c r="D807" s="91">
        <v>1.1000000000000001</v>
      </c>
      <c r="E807" s="86">
        <v>1.1000000000000001</v>
      </c>
    </row>
    <row r="808" spans="1:6" x14ac:dyDescent="0.2">
      <c r="A808" s="353" t="s">
        <v>1101</v>
      </c>
      <c r="B808" s="109" t="s">
        <v>495</v>
      </c>
      <c r="C808" s="89" t="s">
        <v>34</v>
      </c>
      <c r="D808" s="90">
        <f>(D809*D810)</f>
        <v>5.5</v>
      </c>
      <c r="E808" s="86" t="s">
        <v>1119</v>
      </c>
    </row>
    <row r="809" spans="1:6" x14ac:dyDescent="0.2">
      <c r="A809" s="354"/>
      <c r="B809" s="109" t="s">
        <v>439</v>
      </c>
      <c r="C809" s="89" t="s">
        <v>33</v>
      </c>
      <c r="D809" s="91">
        <f>(2*1.5)+(2*1)</f>
        <v>5</v>
      </c>
      <c r="E809" s="86" t="s">
        <v>496</v>
      </c>
    </row>
    <row r="810" spans="1:6" x14ac:dyDescent="0.2">
      <c r="A810" s="354"/>
      <c r="B810" s="109" t="s">
        <v>440</v>
      </c>
      <c r="C810" s="89" t="s">
        <v>33</v>
      </c>
      <c r="D810" s="91">
        <v>1.1000000000000001</v>
      </c>
      <c r="E810" s="86">
        <v>1.1000000000000001</v>
      </c>
    </row>
    <row r="811" spans="1:6" x14ac:dyDescent="0.2">
      <c r="A811" s="353" t="s">
        <v>1102</v>
      </c>
      <c r="B811" s="109" t="s">
        <v>499</v>
      </c>
      <c r="C811" s="89" t="s">
        <v>34</v>
      </c>
      <c r="D811" s="90">
        <f>(D812*D813)</f>
        <v>13.860000000000001</v>
      </c>
      <c r="E811" s="86" t="s">
        <v>1084</v>
      </c>
      <c r="F811" s="11"/>
    </row>
    <row r="812" spans="1:6" x14ac:dyDescent="0.2">
      <c r="A812" s="354"/>
      <c r="B812" s="109" t="s">
        <v>439</v>
      </c>
      <c r="C812" s="89" t="s">
        <v>33</v>
      </c>
      <c r="D812" s="91">
        <f>(2*2.5+2*3.8)</f>
        <v>12.6</v>
      </c>
      <c r="E812" s="86" t="s">
        <v>500</v>
      </c>
      <c r="F812" s="11"/>
    </row>
    <row r="813" spans="1:6" x14ac:dyDescent="0.2">
      <c r="A813" s="354"/>
      <c r="B813" s="109" t="s">
        <v>440</v>
      </c>
      <c r="C813" s="89" t="s">
        <v>33</v>
      </c>
      <c r="D813" s="91">
        <v>1.1000000000000001</v>
      </c>
      <c r="E813" s="86">
        <v>1.1000000000000001</v>
      </c>
      <c r="F813" s="11"/>
    </row>
    <row r="814" spans="1:6" x14ac:dyDescent="0.2">
      <c r="A814" s="353" t="s">
        <v>1103</v>
      </c>
      <c r="B814" s="121" t="s">
        <v>506</v>
      </c>
      <c r="C814" s="89" t="s">
        <v>34</v>
      </c>
      <c r="D814" s="90">
        <f>(D815*D816)</f>
        <v>12.430000000000001</v>
      </c>
      <c r="E814" s="162" t="s">
        <v>1120</v>
      </c>
      <c r="F814" s="11"/>
    </row>
    <row r="815" spans="1:6" x14ac:dyDescent="0.2">
      <c r="A815" s="354"/>
      <c r="B815" s="109" t="s">
        <v>439</v>
      </c>
      <c r="C815" s="89" t="s">
        <v>33</v>
      </c>
      <c r="D815" s="91">
        <f>(2*3.15)+(2*2.5)</f>
        <v>11.3</v>
      </c>
      <c r="E815" s="86" t="s">
        <v>503</v>
      </c>
      <c r="F815" s="11"/>
    </row>
    <row r="816" spans="1:6" x14ac:dyDescent="0.2">
      <c r="A816" s="354"/>
      <c r="B816" s="109" t="s">
        <v>440</v>
      </c>
      <c r="C816" s="89" t="s">
        <v>33</v>
      </c>
      <c r="D816" s="91">
        <v>1.1000000000000001</v>
      </c>
      <c r="E816" s="86">
        <v>1.1000000000000001</v>
      </c>
      <c r="F816" s="11"/>
    </row>
    <row r="817" spans="1:6" ht="25.5" x14ac:dyDescent="0.2">
      <c r="A817" s="10" t="s">
        <v>934</v>
      </c>
      <c r="B817" s="124" t="s">
        <v>953</v>
      </c>
      <c r="C817" s="6" t="s">
        <v>34</v>
      </c>
      <c r="D817" s="90">
        <f>2*((0.7*2.1)+6*(0.8*2.1)+7*(0.9*2.1)+2*(1.1*2.1)+2*(0.9*2.1)+19*(0.05*5.1))</f>
        <v>76.05</v>
      </c>
      <c r="E817" s="85" t="s">
        <v>1121</v>
      </c>
      <c r="F817" s="11"/>
    </row>
    <row r="818" spans="1:6" ht="25.5" x14ac:dyDescent="0.2">
      <c r="A818" s="10" t="s">
        <v>1089</v>
      </c>
      <c r="B818" s="124" t="s">
        <v>954</v>
      </c>
      <c r="C818" s="6" t="s">
        <v>34</v>
      </c>
      <c r="D818" s="90">
        <f>D819+D820</f>
        <v>51.525000000000006</v>
      </c>
      <c r="E818" s="85" t="s">
        <v>1123</v>
      </c>
      <c r="F818" s="11"/>
    </row>
    <row r="819" spans="1:6" x14ac:dyDescent="0.2">
      <c r="A819" s="10" t="s">
        <v>1090</v>
      </c>
      <c r="B819" s="124" t="s">
        <v>959</v>
      </c>
      <c r="C819" s="6" t="s">
        <v>34</v>
      </c>
      <c r="D819" s="90">
        <f>2*(2*(0.9*1.8)+2*(0.9*2.1)+(0.4*0.8)+4*(0.7*2.1))</f>
        <v>26.44</v>
      </c>
      <c r="E819" s="85" t="s">
        <v>961</v>
      </c>
      <c r="F819" s="11"/>
    </row>
    <row r="820" spans="1:6" x14ac:dyDescent="0.2">
      <c r="A820" s="10" t="s">
        <v>1091</v>
      </c>
      <c r="B820" s="124" t="s">
        <v>960</v>
      </c>
      <c r="C820" s="6" t="s">
        <v>34</v>
      </c>
      <c r="D820" s="90">
        <f>((8.4+3.2+2.7+3)*2.9)/2</f>
        <v>25.085000000000001</v>
      </c>
      <c r="E820" s="85" t="s">
        <v>1122</v>
      </c>
      <c r="F820" s="11"/>
    </row>
    <row r="821" spans="1:6" x14ac:dyDescent="0.2">
      <c r="A821" s="350"/>
      <c r="B821" s="351"/>
      <c r="C821" s="351"/>
      <c r="D821" s="351"/>
      <c r="E821" s="352"/>
      <c r="F821" s="11"/>
    </row>
    <row r="822" spans="1:6" x14ac:dyDescent="0.2">
      <c r="A822" s="296" t="s">
        <v>111</v>
      </c>
      <c r="B822" s="297"/>
      <c r="C822" s="297"/>
      <c r="D822" s="297"/>
      <c r="E822" s="298"/>
      <c r="F822" s="11"/>
    </row>
    <row r="823" spans="1:6" x14ac:dyDescent="0.2">
      <c r="A823" s="8">
        <v>21</v>
      </c>
      <c r="B823" s="46" t="s">
        <v>112</v>
      </c>
      <c r="C823" s="89"/>
      <c r="D823" s="78"/>
      <c r="E823" s="64"/>
      <c r="F823" s="11"/>
    </row>
    <row r="824" spans="1:6" ht="25.5" x14ac:dyDescent="0.2">
      <c r="A824" s="27" t="s">
        <v>935</v>
      </c>
      <c r="B824" s="43" t="s">
        <v>607</v>
      </c>
      <c r="C824" s="89" t="s">
        <v>34</v>
      </c>
      <c r="D824" s="78">
        <f>30+30+40+5.26</f>
        <v>105.26</v>
      </c>
      <c r="E824" s="65" t="s">
        <v>1063</v>
      </c>
      <c r="F824" s="11"/>
    </row>
    <row r="825" spans="1:6" ht="25.5" x14ac:dyDescent="0.2">
      <c r="A825" s="27" t="s">
        <v>936</v>
      </c>
      <c r="B825" s="133" t="s">
        <v>1045</v>
      </c>
      <c r="C825" s="89" t="s">
        <v>34</v>
      </c>
      <c r="D825" s="78">
        <f>SUM(D826:D827)</f>
        <v>121.533</v>
      </c>
      <c r="E825" s="65" t="s">
        <v>1068</v>
      </c>
      <c r="F825" s="11"/>
    </row>
    <row r="826" spans="1:6" x14ac:dyDescent="0.2">
      <c r="A826" s="27" t="s">
        <v>1064</v>
      </c>
      <c r="B826" s="133" t="s">
        <v>418</v>
      </c>
      <c r="C826" s="89" t="s">
        <v>34</v>
      </c>
      <c r="D826" s="89">
        <f>(10*1.28*1.5)+(2*4.15*1.5)+(18*1.5)</f>
        <v>58.650000000000006</v>
      </c>
      <c r="E826" s="65" t="s">
        <v>1066</v>
      </c>
      <c r="F826" s="11"/>
    </row>
    <row r="827" spans="1:6" x14ac:dyDescent="0.2">
      <c r="A827" s="27" t="s">
        <v>1065</v>
      </c>
      <c r="B827" s="133" t="s">
        <v>419</v>
      </c>
      <c r="C827" s="89" t="s">
        <v>34</v>
      </c>
      <c r="D827" s="89">
        <f>(6.1*2.4) + (7.05*2.4)+(3.18*2.8)+(7.05*3.18)</f>
        <v>62.882999999999996</v>
      </c>
      <c r="E827" s="65" t="s">
        <v>1067</v>
      </c>
      <c r="F827" s="11"/>
    </row>
    <row r="828" spans="1:6" x14ac:dyDescent="0.2">
      <c r="A828" s="27" t="s">
        <v>937</v>
      </c>
      <c r="B828" s="17" t="str">
        <f>Orçamento!C345</f>
        <v>LIMPEZA FINAL DE OBRA - (OBRAS CIVIS)</v>
      </c>
      <c r="C828" s="5" t="str">
        <f>Orçamento!E345</f>
        <v>M2</v>
      </c>
      <c r="D828" s="78">
        <f>Orçamento!D345</f>
        <v>312.26</v>
      </c>
      <c r="E828" s="65"/>
      <c r="F828" s="11"/>
    </row>
    <row r="829" spans="1:6" x14ac:dyDescent="0.2">
      <c r="A829" s="27" t="s">
        <v>938</v>
      </c>
      <c r="B829" s="17" t="str">
        <f>Orçamento!C346</f>
        <v>SUPORTE PARA BANCADA EM FERRO "T" 1/8" X 1 1/4"</v>
      </c>
      <c r="C829" s="5" t="str">
        <f>Orçamento!E346</f>
        <v>UND.</v>
      </c>
      <c r="D829" s="78">
        <f>Orçamento!D346</f>
        <v>14</v>
      </c>
      <c r="E829" s="66"/>
      <c r="F829" s="11"/>
    </row>
    <row r="830" spans="1:6" x14ac:dyDescent="0.2">
      <c r="A830" s="27" t="s">
        <v>939</v>
      </c>
      <c r="B830" s="17" t="str">
        <f>Orçamento!C347</f>
        <v>PLACA DE INAUGURACAO ACO ESCOVADO 80 X 60 CM</v>
      </c>
      <c r="C830" s="5" t="str">
        <f>Orçamento!E347</f>
        <v>UND.</v>
      </c>
      <c r="D830" s="78">
        <f>Orçamento!D347</f>
        <v>1</v>
      </c>
      <c r="E830" s="66"/>
      <c r="F830" s="11"/>
    </row>
    <row r="831" spans="1:6" ht="25.5" x14ac:dyDescent="0.2">
      <c r="A831" s="293" t="s">
        <v>940</v>
      </c>
      <c r="B831" s="133" t="s">
        <v>947</v>
      </c>
      <c r="C831" s="5" t="s">
        <v>34</v>
      </c>
      <c r="D831" s="78">
        <f>(19.3*4.3)+(6.9*3.1)+45.45</f>
        <v>149.82999999999998</v>
      </c>
      <c r="E831" s="66" t="s">
        <v>950</v>
      </c>
      <c r="F831" s="11"/>
    </row>
    <row r="832" spans="1:6" x14ac:dyDescent="0.2">
      <c r="A832" s="294"/>
      <c r="B832" s="133" t="s">
        <v>418</v>
      </c>
      <c r="C832" s="5" t="s">
        <v>34</v>
      </c>
      <c r="D832" s="89">
        <f>19.3*4.3</f>
        <v>82.99</v>
      </c>
      <c r="E832" s="66" t="s">
        <v>951</v>
      </c>
      <c r="F832" s="11"/>
    </row>
    <row r="833" spans="1:6" x14ac:dyDescent="0.2">
      <c r="A833" s="294"/>
      <c r="B833" s="133" t="s">
        <v>419</v>
      </c>
      <c r="C833" s="5" t="s">
        <v>34</v>
      </c>
      <c r="D833" s="89">
        <f>6.9*3.1</f>
        <v>21.39</v>
      </c>
      <c r="E833" s="66" t="s">
        <v>952</v>
      </c>
      <c r="F833" s="11"/>
    </row>
    <row r="834" spans="1:6" x14ac:dyDescent="0.2">
      <c r="A834" s="295"/>
      <c r="B834" s="133" t="s">
        <v>551</v>
      </c>
      <c r="C834" s="5" t="s">
        <v>34</v>
      </c>
      <c r="D834" s="89">
        <v>65.3</v>
      </c>
      <c r="E834" s="66">
        <v>65.3</v>
      </c>
    </row>
    <row r="835" spans="1:6" ht="38.25" x14ac:dyDescent="0.2">
      <c r="A835" s="9" t="s">
        <v>963</v>
      </c>
      <c r="B835" s="133" t="s">
        <v>948</v>
      </c>
      <c r="C835" s="5" t="s">
        <v>2</v>
      </c>
      <c r="D835" s="78">
        <v>10</v>
      </c>
      <c r="E835" s="66"/>
    </row>
    <row r="836" spans="1:6" x14ac:dyDescent="0.2">
      <c r="A836" s="9" t="s">
        <v>1046</v>
      </c>
      <c r="B836" s="17" t="str">
        <f>Orçamento!C350</f>
        <v>BANCADA DE GRANITO C/ESPELHO</v>
      </c>
      <c r="C836" s="5" t="str">
        <f>Orçamento!E350</f>
        <v>M2</v>
      </c>
      <c r="D836" s="78">
        <f>0.9+0.9+0.6+0.9+0.9+0.9+0.9+0.54+0.75+0.6+0.75+1+0.7+0.96</f>
        <v>11.3</v>
      </c>
      <c r="E836" s="66"/>
    </row>
    <row r="837" spans="1:6" x14ac:dyDescent="0.2">
      <c r="A837" s="9" t="s">
        <v>1050</v>
      </c>
      <c r="B837" s="17" t="s">
        <v>450</v>
      </c>
      <c r="C837" s="6" t="s">
        <v>34</v>
      </c>
      <c r="D837" s="58">
        <v>0.9</v>
      </c>
      <c r="E837" s="66"/>
    </row>
    <row r="838" spans="1:6" x14ac:dyDescent="0.2">
      <c r="A838" s="9" t="s">
        <v>1051</v>
      </c>
      <c r="B838" s="17" t="s">
        <v>545</v>
      </c>
      <c r="C838" s="5" t="s">
        <v>34</v>
      </c>
      <c r="D838" s="58">
        <v>0.9</v>
      </c>
      <c r="E838" s="62"/>
    </row>
    <row r="839" spans="1:6" x14ac:dyDescent="0.2">
      <c r="A839" s="9" t="s">
        <v>1052</v>
      </c>
      <c r="B839" s="17" t="s">
        <v>579</v>
      </c>
      <c r="C839" s="6" t="s">
        <v>34</v>
      </c>
      <c r="D839" s="58">
        <v>0.6</v>
      </c>
      <c r="E839" s="66"/>
    </row>
    <row r="840" spans="1:6" x14ac:dyDescent="0.2">
      <c r="A840" s="9" t="s">
        <v>1053</v>
      </c>
      <c r="B840" s="17" t="s">
        <v>546</v>
      </c>
      <c r="C840" s="6" t="s">
        <v>34</v>
      </c>
      <c r="D840" s="58">
        <v>0.9</v>
      </c>
      <c r="E840" s="62"/>
    </row>
    <row r="841" spans="1:6" x14ac:dyDescent="0.2">
      <c r="A841" s="9" t="s">
        <v>1054</v>
      </c>
      <c r="B841" s="17" t="s">
        <v>455</v>
      </c>
      <c r="C841" s="5" t="s">
        <v>34</v>
      </c>
      <c r="D841" s="58">
        <v>0.9</v>
      </c>
      <c r="E841" s="66"/>
    </row>
    <row r="842" spans="1:6" x14ac:dyDescent="0.2">
      <c r="A842" s="9" t="s">
        <v>1055</v>
      </c>
      <c r="B842" s="17" t="s">
        <v>464</v>
      </c>
      <c r="C842" s="6" t="s">
        <v>34</v>
      </c>
      <c r="D842" s="58">
        <v>0.9</v>
      </c>
      <c r="E842" s="62"/>
    </row>
    <row r="843" spans="1:6" x14ac:dyDescent="0.2">
      <c r="A843" s="9" t="s">
        <v>1056</v>
      </c>
      <c r="B843" s="17" t="s">
        <v>468</v>
      </c>
      <c r="C843" s="6" t="s">
        <v>34</v>
      </c>
      <c r="D843" s="58">
        <v>0.9</v>
      </c>
      <c r="E843" s="66"/>
    </row>
    <row r="844" spans="1:6" x14ac:dyDescent="0.2">
      <c r="A844" s="9" t="s">
        <v>1057</v>
      </c>
      <c r="B844" s="17" t="s">
        <v>489</v>
      </c>
      <c r="C844" s="5" t="s">
        <v>34</v>
      </c>
      <c r="D844" s="58" t="s">
        <v>548</v>
      </c>
      <c r="E844" s="62"/>
    </row>
    <row r="845" spans="1:6" x14ac:dyDescent="0.2">
      <c r="A845" s="9" t="s">
        <v>1058</v>
      </c>
      <c r="B845" s="17" t="s">
        <v>580</v>
      </c>
      <c r="C845" s="6" t="s">
        <v>34</v>
      </c>
      <c r="D845" s="58">
        <v>0.6</v>
      </c>
      <c r="E845" s="62"/>
    </row>
    <row r="846" spans="1:6" x14ac:dyDescent="0.2">
      <c r="A846" s="9" t="s">
        <v>1059</v>
      </c>
      <c r="B846" s="17" t="s">
        <v>578</v>
      </c>
      <c r="C846" s="6" t="s">
        <v>34</v>
      </c>
      <c r="D846" s="58">
        <v>0.75</v>
      </c>
      <c r="E846" s="66"/>
    </row>
    <row r="847" spans="1:6" x14ac:dyDescent="0.2">
      <c r="A847" s="9" t="s">
        <v>1060</v>
      </c>
      <c r="B847" s="17" t="s">
        <v>470</v>
      </c>
      <c r="C847" s="5" t="s">
        <v>34</v>
      </c>
      <c r="D847" s="58">
        <v>1</v>
      </c>
      <c r="E847" s="62"/>
    </row>
    <row r="848" spans="1:6" x14ac:dyDescent="0.2">
      <c r="A848" s="9" t="s">
        <v>1061</v>
      </c>
      <c r="B848" s="17" t="s">
        <v>547</v>
      </c>
      <c r="C848" s="6" t="s">
        <v>34</v>
      </c>
      <c r="D848" s="58">
        <v>0.7</v>
      </c>
      <c r="E848" s="66"/>
    </row>
    <row r="849" spans="1:5" x14ac:dyDescent="0.2">
      <c r="A849" s="9" t="s">
        <v>1062</v>
      </c>
      <c r="B849" s="17" t="s">
        <v>444</v>
      </c>
      <c r="C849" s="6" t="s">
        <v>34</v>
      </c>
      <c r="D849" s="58">
        <v>0.96</v>
      </c>
      <c r="E849" s="62"/>
    </row>
  </sheetData>
  <sheetProtection password="D8A0" sheet="1"/>
  <mergeCells count="214">
    <mergeCell ref="A683:E683"/>
    <mergeCell ref="B401:E401"/>
    <mergeCell ref="A805:A807"/>
    <mergeCell ref="A808:A810"/>
    <mergeCell ref="A416:A419"/>
    <mergeCell ref="A420:A423"/>
    <mergeCell ref="A424:A427"/>
    <mergeCell ref="A428:A431"/>
    <mergeCell ref="A811:A813"/>
    <mergeCell ref="A814:A816"/>
    <mergeCell ref="A784:A786"/>
    <mergeCell ref="A787:A789"/>
    <mergeCell ref="A790:A792"/>
    <mergeCell ref="A793:A795"/>
    <mergeCell ref="A796:A798"/>
    <mergeCell ref="A799:A801"/>
    <mergeCell ref="A822:E822"/>
    <mergeCell ref="A821:E821"/>
    <mergeCell ref="A671:E671"/>
    <mergeCell ref="A499:A502"/>
    <mergeCell ref="A432:A435"/>
    <mergeCell ref="A436:A439"/>
    <mergeCell ref="A480:A483"/>
    <mergeCell ref="A802:A804"/>
    <mergeCell ref="A684:E684"/>
    <mergeCell ref="A689:E689"/>
    <mergeCell ref="B22:E22"/>
    <mergeCell ref="B32:E32"/>
    <mergeCell ref="A357:E357"/>
    <mergeCell ref="A358:E358"/>
    <mergeCell ref="A380:E380"/>
    <mergeCell ref="B180:E180"/>
    <mergeCell ref="B186:E186"/>
    <mergeCell ref="B171:E171"/>
    <mergeCell ref="A170:E170"/>
    <mergeCell ref="B282:E282"/>
    <mergeCell ref="A285:E285"/>
    <mergeCell ref="A304:E304"/>
    <mergeCell ref="B191:E191"/>
    <mergeCell ref="B194:E194"/>
    <mergeCell ref="B199:E199"/>
    <mergeCell ref="A94:E94"/>
    <mergeCell ref="A169:E169"/>
    <mergeCell ref="B172:E172"/>
    <mergeCell ref="B173:E173"/>
    <mergeCell ref="A288:A291"/>
    <mergeCell ref="A25:E25"/>
    <mergeCell ref="A30:E30"/>
    <mergeCell ref="A57:E57"/>
    <mergeCell ref="A7:E7"/>
    <mergeCell ref="A8:E9"/>
    <mergeCell ref="A11:E11"/>
    <mergeCell ref="A31:E31"/>
    <mergeCell ref="B12:E12"/>
    <mergeCell ref="A20:E20"/>
    <mergeCell ref="B26:E26"/>
    <mergeCell ref="A58:E58"/>
    <mergeCell ref="A93:E93"/>
    <mergeCell ref="A1:E1"/>
    <mergeCell ref="A2:E2"/>
    <mergeCell ref="A3:E3"/>
    <mergeCell ref="A4:E4"/>
    <mergeCell ref="A5:E5"/>
    <mergeCell ref="A6:E6"/>
    <mergeCell ref="A21:E21"/>
    <mergeCell ref="A24:E24"/>
    <mergeCell ref="B338:E338"/>
    <mergeCell ref="B335:E335"/>
    <mergeCell ref="B332:E332"/>
    <mergeCell ref="B329:E329"/>
    <mergeCell ref="A305:E305"/>
    <mergeCell ref="A329:A331"/>
    <mergeCell ref="A332:A334"/>
    <mergeCell ref="A335:A337"/>
    <mergeCell ref="A338:A340"/>
    <mergeCell ref="A292:A295"/>
    <mergeCell ref="B205:E205"/>
    <mergeCell ref="B219:E219"/>
    <mergeCell ref="B231:E231"/>
    <mergeCell ref="B233:E233"/>
    <mergeCell ref="B225:E225"/>
    <mergeCell ref="B206:E206"/>
    <mergeCell ref="B209:E209"/>
    <mergeCell ref="B214:E214"/>
    <mergeCell ref="B277:E277"/>
    <mergeCell ref="B273:E273"/>
    <mergeCell ref="A284:E284"/>
    <mergeCell ref="B326:E326"/>
    <mergeCell ref="B323:E323"/>
    <mergeCell ref="B320:E320"/>
    <mergeCell ref="B317:E317"/>
    <mergeCell ref="B314:E314"/>
    <mergeCell ref="B311:E311"/>
    <mergeCell ref="B308:E308"/>
    <mergeCell ref="A326:A328"/>
    <mergeCell ref="B95:E95"/>
    <mergeCell ref="B59:E59"/>
    <mergeCell ref="B234:E234"/>
    <mergeCell ref="B239:E239"/>
    <mergeCell ref="B247:E247"/>
    <mergeCell ref="B251:E251"/>
    <mergeCell ref="B218:E218"/>
    <mergeCell ref="B229:E229"/>
    <mergeCell ref="B268:E268"/>
    <mergeCell ref="A311:A313"/>
    <mergeCell ref="A314:A316"/>
    <mergeCell ref="A317:A319"/>
    <mergeCell ref="A320:A322"/>
    <mergeCell ref="A323:A325"/>
    <mergeCell ref="A296:A299"/>
    <mergeCell ref="A301:A303"/>
    <mergeCell ref="A308:A310"/>
    <mergeCell ref="B286:E286"/>
    <mergeCell ref="A341:A342"/>
    <mergeCell ref="A361:A364"/>
    <mergeCell ref="A367:A370"/>
    <mergeCell ref="B359:E359"/>
    <mergeCell ref="B374:E374"/>
    <mergeCell ref="B382:E382"/>
    <mergeCell ref="B341:E341"/>
    <mergeCell ref="A373:E373"/>
    <mergeCell ref="A372:E372"/>
    <mergeCell ref="A395:E395"/>
    <mergeCell ref="A394:E394"/>
    <mergeCell ref="A400:E400"/>
    <mergeCell ref="A381:E381"/>
    <mergeCell ref="A440:A443"/>
    <mergeCell ref="A444:A447"/>
    <mergeCell ref="A448:A451"/>
    <mergeCell ref="A452:A455"/>
    <mergeCell ref="A456:A459"/>
    <mergeCell ref="B396:E396"/>
    <mergeCell ref="A460:A463"/>
    <mergeCell ref="A492:E492"/>
    <mergeCell ref="B403:E403"/>
    <mergeCell ref="B494:E494"/>
    <mergeCell ref="A344:E344"/>
    <mergeCell ref="A351:E351"/>
    <mergeCell ref="A404:A407"/>
    <mergeCell ref="A408:A411"/>
    <mergeCell ref="A412:A415"/>
    <mergeCell ref="A399:E399"/>
    <mergeCell ref="A495:A498"/>
    <mergeCell ref="A464:A467"/>
    <mergeCell ref="A468:A471"/>
    <mergeCell ref="A472:A475"/>
    <mergeCell ref="A476:A479"/>
    <mergeCell ref="A503:A506"/>
    <mergeCell ref="A484:A487"/>
    <mergeCell ref="A507:A510"/>
    <mergeCell ref="A511:A514"/>
    <mergeCell ref="A515:A518"/>
    <mergeCell ref="A521:A524"/>
    <mergeCell ref="A525:A528"/>
    <mergeCell ref="A529:A532"/>
    <mergeCell ref="A533:A536"/>
    <mergeCell ref="A537:A540"/>
    <mergeCell ref="A541:A544"/>
    <mergeCell ref="A545:A548"/>
    <mergeCell ref="A549:A552"/>
    <mergeCell ref="A553:A556"/>
    <mergeCell ref="A557:A560"/>
    <mergeCell ref="A561:A564"/>
    <mergeCell ref="A565:A568"/>
    <mergeCell ref="A569:A572"/>
    <mergeCell ref="A573:A576"/>
    <mergeCell ref="A577:A580"/>
    <mergeCell ref="A581:A584"/>
    <mergeCell ref="A585:A588"/>
    <mergeCell ref="A589:A592"/>
    <mergeCell ref="A593:A596"/>
    <mergeCell ref="A597:A600"/>
    <mergeCell ref="A601:A604"/>
    <mergeCell ref="A605:A608"/>
    <mergeCell ref="A609:A612"/>
    <mergeCell ref="A613:A616"/>
    <mergeCell ref="A617:A620"/>
    <mergeCell ref="A627:A630"/>
    <mergeCell ref="A631:A634"/>
    <mergeCell ref="A635:A638"/>
    <mergeCell ref="A639:A642"/>
    <mergeCell ref="A643:A646"/>
    <mergeCell ref="A647:A650"/>
    <mergeCell ref="A658:A661"/>
    <mergeCell ref="A651:E651"/>
    <mergeCell ref="A652:E652"/>
    <mergeCell ref="A655:E655"/>
    <mergeCell ref="A656:E656"/>
    <mergeCell ref="A662:A664"/>
    <mergeCell ref="A665:A667"/>
    <mergeCell ref="A678:A681"/>
    <mergeCell ref="A831:A834"/>
    <mergeCell ref="A774:A777"/>
    <mergeCell ref="A770:A773"/>
    <mergeCell ref="A766:A769"/>
    <mergeCell ref="A762:A765"/>
    <mergeCell ref="A758:A761"/>
    <mergeCell ref="A690:E690"/>
    <mergeCell ref="A754:A757"/>
    <mergeCell ref="A750:A753"/>
    <mergeCell ref="A746:A749"/>
    <mergeCell ref="A742:A745"/>
    <mergeCell ref="A738:A741"/>
    <mergeCell ref="A734:A737"/>
    <mergeCell ref="A706:A709"/>
    <mergeCell ref="A702:A705"/>
    <mergeCell ref="A698:A701"/>
    <mergeCell ref="A694:A697"/>
    <mergeCell ref="A730:A733"/>
    <mergeCell ref="A726:A729"/>
    <mergeCell ref="A722:A725"/>
    <mergeCell ref="A718:A721"/>
    <mergeCell ref="A714:A717"/>
    <mergeCell ref="A710:A713"/>
  </mergeCells>
  <phoneticPr fontId="2" type="noConversion"/>
  <pageMargins left="0.7" right="0.7" top="0.75" bottom="0.75" header="0.3" footer="0.3"/>
  <pageSetup paperSize="9" scale="86" fitToHeight="0" orientation="landscape" horizontalDpi="4294967292" r:id="rId1"/>
  <headerFooter alignWithMargins="0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Orçamento</vt:lpstr>
      <vt:lpstr>Memória de Cálculo</vt:lpstr>
      <vt:lpstr>Orçamento!Area_de_impressao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</dc:creator>
  <cp:lastModifiedBy>Philipjohn Ribeiro</cp:lastModifiedBy>
  <cp:lastPrinted>2017-11-17T12:50:43Z</cp:lastPrinted>
  <dcterms:created xsi:type="dcterms:W3CDTF">2007-11-08T18:01:09Z</dcterms:created>
  <dcterms:modified xsi:type="dcterms:W3CDTF">2018-01-25T18:34:29Z</dcterms:modified>
</cp:coreProperties>
</file>