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909559c73102cec3/Secretaria Municipal de Educação Catalão/1 - Obras em EXECUÇÃO/CMEI JOÃO MARGON VAZ/MURO - PROCESSO EMERGENCIAL/CD/"/>
    </mc:Choice>
  </mc:AlternateContent>
  <xr:revisionPtr revIDLastSave="252" documentId="13_ncr:1_{8A42ED51-893B-4AA4-8B24-6DB823F65239}" xr6:coauthVersionLast="47" xr6:coauthVersionMax="47" xr10:uidLastSave="{7BC196B4-76A3-47D3-B892-C988892FC45D}"/>
  <bookViews>
    <workbookView xWindow="-120" yWindow="-120" windowWidth="20730" windowHeight="11160" tabRatio="507" activeTab="3" xr2:uid="{00000000-000D-0000-FFFF-FFFF00000000}"/>
  </bookViews>
  <sheets>
    <sheet name="MEMÓRIA DE CÁLCULO" sheetId="6" r:id="rId1"/>
    <sheet name="ORÇAMENTO " sheetId="5" r:id="rId2"/>
    <sheet name="CRONOGRAMA" sheetId="9" r:id="rId3"/>
    <sheet name="BDI" sheetId="4" r:id="rId4"/>
  </sheets>
  <definedNames>
    <definedName name="_xlnm.Print_Area" localSheetId="2">CRONOGRAMA!$A$1:$H$26</definedName>
    <definedName name="_xlnm.Print_Area" localSheetId="0">'MEMÓRIA DE CÁLCULO'!$B$2:$J$11</definedName>
    <definedName name="_xlnm.Print_Area" localSheetId="1">'ORÇAMENTO '!$B$1:$J$112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4" i="6" l="1"/>
  <c r="H146" i="6"/>
  <c r="H148" i="6"/>
  <c r="I103" i="5"/>
  <c r="H103" i="5"/>
  <c r="C29" i="5"/>
  <c r="D29" i="5"/>
  <c r="E29" i="5"/>
  <c r="F29" i="5"/>
  <c r="F28" i="5"/>
  <c r="E28" i="5"/>
  <c r="D28" i="5"/>
  <c r="C28" i="5"/>
  <c r="H42" i="6"/>
  <c r="J42" i="6" s="1"/>
  <c r="J41" i="6" s="1"/>
  <c r="G29" i="5" s="1"/>
  <c r="J40" i="6"/>
  <c r="J39" i="6" s="1"/>
  <c r="G28" i="5" s="1"/>
  <c r="H40" i="6"/>
  <c r="C74" i="5"/>
  <c r="D74" i="5"/>
  <c r="E74" i="5"/>
  <c r="F74" i="5"/>
  <c r="H13" i="6"/>
  <c r="J156" i="6"/>
  <c r="J140" i="6"/>
  <c r="J139" i="6"/>
  <c r="J134" i="6"/>
  <c r="J133" i="6"/>
  <c r="H73" i="6"/>
  <c r="J73" i="6" s="1"/>
  <c r="J72" i="6" s="1"/>
  <c r="J50" i="6"/>
  <c r="J49" i="6" s="1"/>
  <c r="G36" i="5" s="1"/>
  <c r="H12" i="9"/>
  <c r="H13" i="9"/>
  <c r="H14" i="9"/>
  <c r="H15" i="9"/>
  <c r="H16" i="9"/>
  <c r="H17" i="9"/>
  <c r="H18" i="9"/>
  <c r="H19" i="9"/>
  <c r="H20" i="9"/>
  <c r="H21" i="9"/>
  <c r="H98" i="6"/>
  <c r="J98" i="6" s="1"/>
  <c r="J97" i="6" s="1"/>
  <c r="G61" i="5" s="1"/>
  <c r="H100" i="6"/>
  <c r="C60" i="5"/>
  <c r="D60" i="5"/>
  <c r="E60" i="5"/>
  <c r="F60" i="5"/>
  <c r="C61" i="5"/>
  <c r="D61" i="5"/>
  <c r="E61" i="5"/>
  <c r="F61" i="5"/>
  <c r="C62" i="5"/>
  <c r="D62" i="5"/>
  <c r="E62" i="5"/>
  <c r="F62" i="5"/>
  <c r="C13" i="5"/>
  <c r="E13" i="5"/>
  <c r="F13" i="5"/>
  <c r="F103" i="5"/>
  <c r="D103" i="5"/>
  <c r="C94" i="5"/>
  <c r="D94" i="5"/>
  <c r="E94" i="5"/>
  <c r="F94" i="5"/>
  <c r="C71" i="5"/>
  <c r="D71" i="5"/>
  <c r="E71" i="5"/>
  <c r="F71" i="5"/>
  <c r="D72" i="5"/>
  <c r="F72" i="5"/>
  <c r="C73" i="5"/>
  <c r="D73" i="5"/>
  <c r="E73" i="5"/>
  <c r="F73" i="5"/>
  <c r="F66" i="5"/>
  <c r="E66" i="5"/>
  <c r="D66" i="5"/>
  <c r="C66" i="5"/>
  <c r="F64" i="5"/>
  <c r="E64" i="5"/>
  <c r="D64" i="5"/>
  <c r="C64" i="5"/>
  <c r="C59" i="5"/>
  <c r="D59" i="5"/>
  <c r="E59" i="5"/>
  <c r="F59" i="5"/>
  <c r="F58" i="5"/>
  <c r="E58" i="5"/>
  <c r="D58" i="5"/>
  <c r="C58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F52" i="5"/>
  <c r="E52" i="5"/>
  <c r="D52" i="5"/>
  <c r="C52" i="5"/>
  <c r="C43" i="5"/>
  <c r="D43" i="5"/>
  <c r="E43" i="5"/>
  <c r="F43" i="5"/>
  <c r="C44" i="5"/>
  <c r="D44" i="5"/>
  <c r="E44" i="5"/>
  <c r="F44" i="5"/>
  <c r="C45" i="5"/>
  <c r="D45" i="5"/>
  <c r="E45" i="5"/>
  <c r="F45" i="5"/>
  <c r="C46" i="5"/>
  <c r="D46" i="5"/>
  <c r="E46" i="5"/>
  <c r="F46" i="5"/>
  <c r="F42" i="5"/>
  <c r="E42" i="5"/>
  <c r="D42" i="5"/>
  <c r="C42" i="5"/>
  <c r="C37" i="5"/>
  <c r="D37" i="5"/>
  <c r="E37" i="5"/>
  <c r="F37" i="5"/>
  <c r="C38" i="5"/>
  <c r="D38" i="5"/>
  <c r="E38" i="5"/>
  <c r="F38" i="5"/>
  <c r="C39" i="5"/>
  <c r="D39" i="5"/>
  <c r="E39" i="5"/>
  <c r="F39" i="5"/>
  <c r="C40" i="5"/>
  <c r="D40" i="5"/>
  <c r="E40" i="5"/>
  <c r="F40" i="5"/>
  <c r="F36" i="5"/>
  <c r="E36" i="5"/>
  <c r="D36" i="5"/>
  <c r="C36" i="5"/>
  <c r="F26" i="5"/>
  <c r="E26" i="5"/>
  <c r="D26" i="5"/>
  <c r="C26" i="5"/>
  <c r="F25" i="5"/>
  <c r="E25" i="5"/>
  <c r="D25" i="5"/>
  <c r="C25" i="5"/>
  <c r="C23" i="5"/>
  <c r="D23" i="5"/>
  <c r="E23" i="5"/>
  <c r="F23" i="5"/>
  <c r="F22" i="5"/>
  <c r="E22" i="5"/>
  <c r="D22" i="5"/>
  <c r="C22" i="5"/>
  <c r="J148" i="6"/>
  <c r="J147" i="6" s="1"/>
  <c r="G94" i="5" s="1"/>
  <c r="J144" i="6"/>
  <c r="J146" i="6"/>
  <c r="J145" i="6" s="1"/>
  <c r="J153" i="6"/>
  <c r="I155" i="6"/>
  <c r="I152" i="6"/>
  <c r="J161" i="6"/>
  <c r="I160" i="6"/>
  <c r="J160" i="6" s="1"/>
  <c r="F159" i="6"/>
  <c r="E103" i="5" s="1"/>
  <c r="J124" i="6"/>
  <c r="J129" i="6"/>
  <c r="J128" i="6"/>
  <c r="J137" i="6"/>
  <c r="J136" i="6"/>
  <c r="J118" i="6"/>
  <c r="J117" i="6" s="1"/>
  <c r="G73" i="5" s="1"/>
  <c r="J120" i="6"/>
  <c r="J119" i="6" s="1"/>
  <c r="G74" i="5" s="1"/>
  <c r="H116" i="6"/>
  <c r="J116" i="6" s="1"/>
  <c r="J115" i="6" s="1"/>
  <c r="G72" i="5" s="1"/>
  <c r="F115" i="6"/>
  <c r="E72" i="5" s="1"/>
  <c r="H114" i="6"/>
  <c r="J114" i="6" s="1"/>
  <c r="J113" i="6" s="1"/>
  <c r="G71" i="5" s="1"/>
  <c r="H89" i="6"/>
  <c r="J89" i="6" s="1"/>
  <c r="H88" i="6"/>
  <c r="J88" i="6" s="1"/>
  <c r="H86" i="6"/>
  <c r="J86" i="6" s="1"/>
  <c r="H85" i="6"/>
  <c r="J85" i="6" s="1"/>
  <c r="J112" i="6"/>
  <c r="J111" i="6" s="1"/>
  <c r="H108" i="6"/>
  <c r="J108" i="6" s="1"/>
  <c r="H107" i="6"/>
  <c r="J107" i="6" s="1"/>
  <c r="H106" i="6"/>
  <c r="J106" i="6" s="1"/>
  <c r="H103" i="6"/>
  <c r="J103" i="6" s="1"/>
  <c r="J102" i="6" s="1"/>
  <c r="G64" i="5" s="1"/>
  <c r="J63" i="5" s="1"/>
  <c r="H94" i="6"/>
  <c r="J94" i="6" s="1"/>
  <c r="J93" i="6" s="1"/>
  <c r="G59" i="5" s="1"/>
  <c r="J100" i="6"/>
  <c r="J99" i="6" s="1"/>
  <c r="G62" i="5" s="1"/>
  <c r="H96" i="6"/>
  <c r="J96" i="6" s="1"/>
  <c r="J95" i="6" s="1"/>
  <c r="G60" i="5" s="1"/>
  <c r="H92" i="6"/>
  <c r="J92" i="6" s="1"/>
  <c r="J91" i="6" s="1"/>
  <c r="G58" i="5" s="1"/>
  <c r="J76" i="6"/>
  <c r="H83" i="6"/>
  <c r="J83" i="6" s="1"/>
  <c r="H82" i="6"/>
  <c r="J82" i="6" s="1"/>
  <c r="H80" i="6"/>
  <c r="J80" i="6" s="1"/>
  <c r="H79" i="6"/>
  <c r="J79" i="6" s="1"/>
  <c r="J77" i="6"/>
  <c r="H47" i="6"/>
  <c r="J47" i="6" s="1"/>
  <c r="H69" i="6"/>
  <c r="J69" i="6" s="1"/>
  <c r="J68" i="6" s="1"/>
  <c r="G46" i="5" s="1"/>
  <c r="H67" i="6"/>
  <c r="J67" i="6" s="1"/>
  <c r="J66" i="6" s="1"/>
  <c r="G45" i="5" s="1"/>
  <c r="H65" i="6"/>
  <c r="J65" i="6" s="1"/>
  <c r="J64" i="6" s="1"/>
  <c r="G44" i="5" s="1"/>
  <c r="H63" i="6"/>
  <c r="J63" i="6" s="1"/>
  <c r="J62" i="6" s="1"/>
  <c r="G43" i="5" s="1"/>
  <c r="H61" i="6"/>
  <c r="J61" i="6" s="1"/>
  <c r="H58" i="6"/>
  <c r="J58" i="6" s="1"/>
  <c r="J57" i="6" s="1"/>
  <c r="G40" i="5" s="1"/>
  <c r="H56" i="6"/>
  <c r="J56" i="6" s="1"/>
  <c r="J55" i="6" s="1"/>
  <c r="G39" i="5" s="1"/>
  <c r="H54" i="6"/>
  <c r="J54" i="6" s="1"/>
  <c r="J53" i="6" s="1"/>
  <c r="G38" i="5" s="1"/>
  <c r="H52" i="6"/>
  <c r="J52" i="6" s="1"/>
  <c r="J51" i="6" s="1"/>
  <c r="G37" i="5" s="1"/>
  <c r="J35" i="6"/>
  <c r="H37" i="6"/>
  <c r="J37" i="6" s="1"/>
  <c r="J36" i="6" s="1"/>
  <c r="G26" i="5" s="1"/>
  <c r="J32" i="6"/>
  <c r="J31" i="6"/>
  <c r="H29" i="6"/>
  <c r="J29" i="6" s="1"/>
  <c r="H28" i="6"/>
  <c r="J28" i="6" s="1"/>
  <c r="J27" i="5" l="1"/>
  <c r="J159" i="6"/>
  <c r="G103" i="5" s="1"/>
  <c r="J103" i="5" s="1"/>
  <c r="J101" i="5" s="1"/>
  <c r="C21" i="9" s="1"/>
  <c r="J155" i="6"/>
  <c r="J154" i="6" s="1"/>
  <c r="J57" i="5"/>
  <c r="J35" i="5"/>
  <c r="J127" i="6"/>
  <c r="J135" i="6"/>
  <c r="J138" i="6"/>
  <c r="J81" i="6"/>
  <c r="G54" i="5" s="1"/>
  <c r="J105" i="6"/>
  <c r="G66" i="5" s="1"/>
  <c r="J65" i="5" s="1"/>
  <c r="J75" i="6"/>
  <c r="G52" i="5" s="1"/>
  <c r="J87" i="6"/>
  <c r="G56" i="5" s="1"/>
  <c r="J84" i="6"/>
  <c r="G55" i="5" s="1"/>
  <c r="J60" i="6"/>
  <c r="G42" i="5" s="1"/>
  <c r="J41" i="5" s="1"/>
  <c r="J78" i="6"/>
  <c r="G53" i="5" s="1"/>
  <c r="J30" i="6"/>
  <c r="G23" i="5" s="1"/>
  <c r="J27" i="6"/>
  <c r="G22" i="5" s="1"/>
  <c r="J21" i="5" l="1"/>
  <c r="J51" i="5"/>
  <c r="J34" i="6"/>
  <c r="G25" i="5" s="1"/>
  <c r="J24" i="5" s="1"/>
  <c r="J19" i="5" l="1"/>
  <c r="J13" i="6"/>
  <c r="J12" i="6" s="1"/>
  <c r="H21" i="6" s="1"/>
  <c r="J21" i="6" s="1"/>
  <c r="J17" i="6"/>
  <c r="J16" i="6" s="1"/>
  <c r="J15" i="6"/>
  <c r="J14" i="6" s="1"/>
  <c r="H22" i="6" s="1"/>
  <c r="J22" i="6" s="1"/>
  <c r="G70" i="5"/>
  <c r="F70" i="5"/>
  <c r="E70" i="5"/>
  <c r="D70" i="5"/>
  <c r="C70" i="5"/>
  <c r="C99" i="5"/>
  <c r="D99" i="5"/>
  <c r="E99" i="5"/>
  <c r="F99" i="5"/>
  <c r="G99" i="5"/>
  <c r="C93" i="5"/>
  <c r="D93" i="5"/>
  <c r="E93" i="5"/>
  <c r="F93" i="5"/>
  <c r="F98" i="5"/>
  <c r="E98" i="5"/>
  <c r="D98" i="5"/>
  <c r="C98" i="5"/>
  <c r="F92" i="5"/>
  <c r="E92" i="5"/>
  <c r="D92" i="5"/>
  <c r="C92" i="5"/>
  <c r="C87" i="5"/>
  <c r="D87" i="5"/>
  <c r="E87" i="5"/>
  <c r="F87" i="5"/>
  <c r="G87" i="5"/>
  <c r="C88" i="5"/>
  <c r="D88" i="5"/>
  <c r="E88" i="5"/>
  <c r="F88" i="5"/>
  <c r="G88" i="5"/>
  <c r="F86" i="5"/>
  <c r="E86" i="5"/>
  <c r="D86" i="5"/>
  <c r="C86" i="5"/>
  <c r="C50" i="5"/>
  <c r="C34" i="5"/>
  <c r="D34" i="5"/>
  <c r="E34" i="5"/>
  <c r="F34" i="5"/>
  <c r="J152" i="6"/>
  <c r="G93" i="5"/>
  <c r="J143" i="6"/>
  <c r="G92" i="5" s="1"/>
  <c r="J123" i="6"/>
  <c r="G82" i="5" s="1"/>
  <c r="J46" i="6"/>
  <c r="G34" i="5" s="1"/>
  <c r="J33" i="5" s="1"/>
  <c r="F82" i="5"/>
  <c r="E82" i="5"/>
  <c r="D82" i="5"/>
  <c r="C82" i="5"/>
  <c r="J31" i="5" l="1"/>
  <c r="C13" i="9" s="1"/>
  <c r="J68" i="5"/>
  <c r="C15" i="9" s="1"/>
  <c r="H23" i="6"/>
  <c r="J23" i="6" s="1"/>
  <c r="J20" i="6" s="1"/>
  <c r="G13" i="5"/>
  <c r="G98" i="5"/>
  <c r="J151" i="6"/>
  <c r="J132" i="6"/>
  <c r="G86" i="5" s="1"/>
  <c r="C78" i="5"/>
  <c r="F78" i="5"/>
  <c r="E78" i="5"/>
  <c r="D78" i="5"/>
  <c r="G78" i="5"/>
  <c r="G50" i="5"/>
  <c r="F50" i="5"/>
  <c r="E50" i="5"/>
  <c r="D50" i="5"/>
  <c r="J96" i="5" l="1"/>
  <c r="C20" i="9" s="1"/>
  <c r="J90" i="5"/>
  <c r="C19" i="9" s="1"/>
  <c r="J84" i="5"/>
  <c r="C18" i="9" s="1"/>
  <c r="J80" i="5"/>
  <c r="C17" i="9" s="1"/>
  <c r="G12" i="5"/>
  <c r="J48" i="5" l="1"/>
  <c r="C14" i="9" s="1"/>
  <c r="J76" i="5"/>
  <c r="C16" i="9" s="1"/>
  <c r="G22" i="9" l="1"/>
  <c r="G23" i="9" s="1"/>
  <c r="G17" i="5"/>
  <c r="F17" i="5"/>
  <c r="E17" i="5"/>
  <c r="D17" i="5"/>
  <c r="C17" i="5"/>
  <c r="F12" i="5"/>
  <c r="F11" i="5"/>
  <c r="E12" i="5"/>
  <c r="E11" i="5"/>
  <c r="D12" i="5"/>
  <c r="C12" i="5"/>
  <c r="C11" i="5"/>
  <c r="D11" i="5"/>
  <c r="G11" i="5" l="1"/>
  <c r="J9" i="5" s="1"/>
  <c r="C10" i="9" s="1"/>
  <c r="C12" i="9" l="1"/>
  <c r="H11" i="9" l="1"/>
  <c r="H10" i="9"/>
  <c r="J15" i="5" l="1"/>
  <c r="J105" i="5" l="1"/>
  <c r="J106" i="5" s="1"/>
  <c r="J107" i="5" s="1"/>
  <c r="C11" i="9"/>
  <c r="E22" i="9" l="1"/>
  <c r="E23" i="9" s="1"/>
  <c r="E25" i="9" s="1"/>
  <c r="F22" i="9"/>
  <c r="F23" i="9" s="1"/>
  <c r="C22" i="9"/>
  <c r="D11" i="9" s="1"/>
  <c r="D10" i="9" l="1"/>
  <c r="C23" i="9"/>
  <c r="G24" i="9" s="1"/>
  <c r="F25" i="9"/>
  <c r="G25" i="9" s="1"/>
  <c r="D21" i="9"/>
  <c r="D15" i="9"/>
  <c r="D20" i="9"/>
  <c r="D13" i="9"/>
  <c r="D19" i="9"/>
  <c r="D14" i="9"/>
  <c r="D16" i="9"/>
  <c r="D17" i="9"/>
  <c r="D18" i="9"/>
  <c r="D12" i="9"/>
  <c r="F24" i="9" l="1"/>
  <c r="E24" i="9"/>
  <c r="E26" i="9" s="1"/>
  <c r="D22" i="9"/>
  <c r="F26" i="9" l="1"/>
  <c r="G26" i="9" s="1"/>
</calcChain>
</file>

<file path=xl/sharedStrings.xml><?xml version="1.0" encoding="utf-8"?>
<sst xmlns="http://schemas.openxmlformats.org/spreadsheetml/2006/main" count="648" uniqueCount="233">
  <si>
    <t>PREFEITURA MUNICIPAL DE CATALÃO</t>
  </si>
  <si>
    <t>SECRETARIA MUNICIPAL DE EDUCAÇÃO</t>
  </si>
  <si>
    <t>RUA 02, N° 81 - SETOR FLAMBOYANT</t>
  </si>
  <si>
    <t>MEMÓRIA DE CÁLCULO</t>
  </si>
  <si>
    <t>ITEM</t>
  </si>
  <si>
    <t xml:space="preserve">CÓDIGO </t>
  </si>
  <si>
    <t>UNID.</t>
  </si>
  <si>
    <t>GRUPO DE SERVIÇO: 164 - SERVIÇOS PRELIMINARES</t>
  </si>
  <si>
    <t>SERVIÇOS PRELIMINARES</t>
  </si>
  <si>
    <t>TOTAL</t>
  </si>
  <si>
    <t>1.1</t>
  </si>
  <si>
    <t>GOINFRA</t>
  </si>
  <si>
    <t>1.2</t>
  </si>
  <si>
    <t>m³</t>
  </si>
  <si>
    <t>m²</t>
  </si>
  <si>
    <t>LARGURA (M)</t>
  </si>
  <si>
    <t>ALTURA (M)</t>
  </si>
  <si>
    <t>COMPRIMENTO (M)</t>
  </si>
  <si>
    <t>GRUPO DE SERVIÇO: 165 - TRANSPORTE</t>
  </si>
  <si>
    <t>TRANSPORTE</t>
  </si>
  <si>
    <t>2.1</t>
  </si>
  <si>
    <t>GRUPO DE SERVIÇO: 166 - SERVIÇO EM TERRA</t>
  </si>
  <si>
    <t>SERVIÇO EM TERRA</t>
  </si>
  <si>
    <t>ESTACA</t>
  </si>
  <si>
    <t>3.1</t>
  </si>
  <si>
    <t>AREA (M²)</t>
  </si>
  <si>
    <t>PROFUNDIDADE (M)</t>
  </si>
  <si>
    <t>GRUPO DE SERVIÇO: 167 - FUNDAÇÕES E SONDAGENS</t>
  </si>
  <si>
    <t>FUNDAÇÕES E SONDAGENS</t>
  </si>
  <si>
    <t>4.1</t>
  </si>
  <si>
    <t>m</t>
  </si>
  <si>
    <t>ESPESSURA (M)</t>
  </si>
  <si>
    <t>5.1</t>
  </si>
  <si>
    <t>6.1</t>
  </si>
  <si>
    <t>GRUPO DE SERVIÇO: 187 - ADMINISTRAÇÃO - MENSALISTAS</t>
  </si>
  <si>
    <t>ADMINISTRAÇÃO - MENSALISTA</t>
  </si>
  <si>
    <t>7.1</t>
  </si>
  <si>
    <t>ENGENHEIRO - (OBRAS CIVIS)</t>
  </si>
  <si>
    <t>2 horas por dia</t>
  </si>
  <si>
    <t>ENCARREGADO - (OBRAS CIVIS)</t>
  </si>
  <si>
    <t>8 horas por dia</t>
  </si>
  <si>
    <t>Elaborado por:</t>
  </si>
  <si>
    <t>________________________________</t>
  </si>
  <si>
    <t xml:space="preserve">PLANILHA ORÇAMENTÁRIA </t>
  </si>
  <si>
    <t>TABELA</t>
  </si>
  <si>
    <t xml:space="preserve">CÓD. </t>
  </si>
  <si>
    <t xml:space="preserve">DESCRIÇÃO </t>
  </si>
  <si>
    <t>QUANTIDADE</t>
  </si>
  <si>
    <t>MATERIAL</t>
  </si>
  <si>
    <t>MÃO DE OBRA</t>
  </si>
  <si>
    <t>GRUPO DE SERVIÇO 164: SERVIÇOS PRELIMINARES</t>
  </si>
  <si>
    <t>GRUPO DE SERVIÇO 165: TRANSPORTES</t>
  </si>
  <si>
    <t>TRANSPORTES</t>
  </si>
  <si>
    <t>GRUPO DE SERVIÇO 166: SERVIÇO EM TERRA</t>
  </si>
  <si>
    <t>GRUPO DE SERVIÇO 167: FUNDAÇÕES E SONDAGENS</t>
  </si>
  <si>
    <t>GRUPO DE SERVIÇO 187: ADMINISTRAÇÃO - MENSALISTA</t>
  </si>
  <si>
    <t>TOTAIS</t>
  </si>
  <si>
    <t>TOTAL :</t>
  </si>
  <si>
    <t>BDI (23,88):</t>
  </si>
  <si>
    <t>TOTAL COM BDI :</t>
  </si>
  <si>
    <t>Aprovado por:</t>
  </si>
  <si>
    <t>Leonardo Pereira Santa Cecília</t>
  </si>
  <si>
    <t>Secretário Municipal de Educação</t>
  </si>
  <si>
    <t xml:space="preserve">                        PREFEITURA MUNICIPAL DE CATALÃO</t>
  </si>
  <si>
    <t>RUA 02, N° 81, SETOR FLAMBOYANT</t>
  </si>
  <si>
    <t>CRONOGRAMA FÍSICO-FINANCEIRO</t>
  </si>
  <si>
    <t>GRUPO DE SERVIÇO</t>
  </si>
  <si>
    <t>Valor da etapa</t>
  </si>
  <si>
    <t>% da obra</t>
  </si>
  <si>
    <t>SERVIÇOS EM TERRA</t>
  </si>
  <si>
    <t>INSTALAÇÃO HIDROSSANITÁRIA</t>
  </si>
  <si>
    <t>Total</t>
  </si>
  <si>
    <t>Total c/ BDI</t>
  </si>
  <si>
    <t>PORCENTAGEM</t>
  </si>
  <si>
    <t>TOTAL ACUMULADO</t>
  </si>
  <si>
    <t>PORCENTAGEM CONCLUÍDA</t>
  </si>
  <si>
    <t>SECRETARIA MUNICIPAL DE OBRAS</t>
  </si>
  <si>
    <t>COMPOSIÇÃO BDI</t>
  </si>
  <si>
    <t>Administração Central (%)</t>
  </si>
  <si>
    <t>Lucro (%)</t>
  </si>
  <si>
    <t>Despesas financeiras (%)</t>
  </si>
  <si>
    <t>Seguros + garantias (%)</t>
  </si>
  <si>
    <t>Riscos (%)</t>
  </si>
  <si>
    <t>ISS (%)</t>
  </si>
  <si>
    <t>PIS (%)</t>
  </si>
  <si>
    <t>COFINS (%)</t>
  </si>
  <si>
    <t>CPRB (%)</t>
  </si>
  <si>
    <t>Resultado (%)</t>
  </si>
  <si>
    <t>* A fórmula para estipulação da taxa de BDI estimado adotado é a mesma que foi aplicada para a obtenção das tabelas contidas no Acórdão n. 2.622/2013 – TCUPlenário</t>
  </si>
  <si>
    <t>__________________________________</t>
  </si>
  <si>
    <t>DEMOLIÇÃO MANUAL EM MURO/PAREDE PLACA PRÉ-MOLDADA C/TRANSP. ATÉ CB. E CARGA</t>
  </si>
  <si>
    <t>Demolição muro do fundo</t>
  </si>
  <si>
    <t>LIMPEZA MECANICA DE TERRENO</t>
  </si>
  <si>
    <t>Muro do fundo</t>
  </si>
  <si>
    <t>TRANSPORTE DE ENTULHO EM CAÇAMBA ESTACIONÁRIA INCLUSO A CARGA MANUAL - 30% EMPOLAMENTO</t>
  </si>
  <si>
    <t>GRUPO DE SERVIÇO: 168 - ESTRUTURA</t>
  </si>
  <si>
    <t>ESTRUTURA</t>
  </si>
  <si>
    <t>MURO ARRIMO PADRÃO GOINFRA EM CANALETA SEM REVESTIMENTO-(COM ALTURA ATÉ 2 ,50M)-INCLUSO FUNDAÇÃO</t>
  </si>
  <si>
    <t>GRUPO DE SERVIÇO: 174 - IMPERMEABILIZAÇÃO</t>
  </si>
  <si>
    <t>IMPERMEABILIZAÇÃO</t>
  </si>
  <si>
    <t>IMPERMEABILIZAÇÃO MURO DE ARRIMO COM 4 DEMÃOS DE EMULSÃO ASFÁLTICA</t>
  </si>
  <si>
    <t>GRUPO DE SERVIÇO: 182 - REVESTIMENTO DE PAREDES</t>
  </si>
  <si>
    <t>REVESTIMENTO DE PAREDES</t>
  </si>
  <si>
    <t>8.1</t>
  </si>
  <si>
    <t>CHAPISCO COMUM</t>
  </si>
  <si>
    <t>EMBOÇO (1CI:4 ARML)</t>
  </si>
  <si>
    <t>REBOCO (1 CALH:4 ARFC+100kgCI/M3)</t>
  </si>
  <si>
    <t>9.1</t>
  </si>
  <si>
    <t>9.2</t>
  </si>
  <si>
    <t>GRUPO DE SERVIÇO: 188 - PINTURA</t>
  </si>
  <si>
    <t>PINTURA</t>
  </si>
  <si>
    <t>10.1</t>
  </si>
  <si>
    <t>EMASSAMENTO ACRILICO 2 DEMAOS</t>
  </si>
  <si>
    <t>10.2</t>
  </si>
  <si>
    <t>PINTURA LATEX ACRILICO 2 DEMAOS</t>
  </si>
  <si>
    <t>GRUPO DE SERVIÇO 168: ESTRTURA</t>
  </si>
  <si>
    <t>GRUPO DE SERVIÇO 174: IMPERMEABILIZAÇÃO</t>
  </si>
  <si>
    <t>REVESTIMENTO DE PAREDE</t>
  </si>
  <si>
    <t>GRUPO DE SERVIÇO 182: REVESTIMENTO DE PAREDES</t>
  </si>
  <si>
    <t>GRUPO DE SERVIÇO 188: PINTURA</t>
  </si>
  <si>
    <t>GRUPO DE SERVIÇO: 170 - INSTALAÇÃO HIDRO-SANITÁRIA</t>
  </si>
  <si>
    <t>INSTALAÇÃO HIDRO-SANITÁRIA</t>
  </si>
  <si>
    <t>Drenagem do muro</t>
  </si>
  <si>
    <t>GRUPO DE SERVIÇO 170: INSTALAÇÃO HIDRO-SANITÁRIA</t>
  </si>
  <si>
    <t>9.3</t>
  </si>
  <si>
    <t>11.1</t>
  </si>
  <si>
    <t>11.2</t>
  </si>
  <si>
    <t>VIGIA DE OBRAS - (NOTURNO) - OBRAS CIVIS</t>
  </si>
  <si>
    <t>10.3</t>
  </si>
  <si>
    <t>HORA</t>
  </si>
  <si>
    <t>h</t>
  </si>
  <si>
    <t>1.3</t>
  </si>
  <si>
    <t>DEMOLIÇÃO DE CONCRETO ARMADO</t>
  </si>
  <si>
    <t>Parede ao lado direito do muro (2 paredes)</t>
  </si>
  <si>
    <t>VIGA BALDRAME</t>
  </si>
  <si>
    <t>ESCAVACAO MANUAL DE VALAS &lt; 1 MTS. (OBRAS CIVIS)</t>
  </si>
  <si>
    <t>ESTACA A TRADO DIAM.30 CM SEM FERRO</t>
  </si>
  <si>
    <t>DRENAGEM</t>
  </si>
  <si>
    <t>BLOCO</t>
  </si>
  <si>
    <t>APILOAMENTO</t>
  </si>
  <si>
    <t>ACO CA 50-A - 8,0 MM (5/16") - (OBRAS CIVIS)</t>
  </si>
  <si>
    <t>ACO CA-60 - 5,0 MM - (OBRAS CIVIS)</t>
  </si>
  <si>
    <t>PREPARO COM BETONEIRA E TRANSPORTE MANUAL DE CONCRETO FCK=30 MPA</t>
  </si>
  <si>
    <t>LANÇAMENTO/APLICAÇÃO/ADENSAMENTO MANUAL DE CONCRETO - (O.C.)</t>
  </si>
  <si>
    <t>kg</t>
  </si>
  <si>
    <t>ÁREA (M²)</t>
  </si>
  <si>
    <t>FORMA TABUA PINHO P/FUNDACOES U=3V - (OBRAS CIVIS)</t>
  </si>
  <si>
    <t>FORMA CH.COMPENSADA 12MM-VIGA/PILAR U=4V - (OBRAS CIVIS</t>
  </si>
  <si>
    <t>PILARES</t>
  </si>
  <si>
    <t>ACO CA-50A - 10,0 MM (3/8") - (OBRAS CIVIS)</t>
  </si>
  <si>
    <t xml:space="preserve">FERRAGEM DOS BLOCOS DE CONCRETO VERTICAL </t>
  </si>
  <si>
    <t>FERRAGEM DOS BLOCOS DE CONCRETO HORIZONTAL</t>
  </si>
  <si>
    <t>DENSIDADE (KG/M)</t>
  </si>
  <si>
    <t>VB 1</t>
  </si>
  <si>
    <t>VB 2</t>
  </si>
  <si>
    <t>B1=B2=B3=B4=B5=B6=B7=B8=B9=B10=B11=B12=B13=B14=B15=B16</t>
  </si>
  <si>
    <t>E1=E2=E3=E4=E5=E6=E7=E8=E9=E10=E11=E12=E13=E14=E15=E16</t>
  </si>
  <si>
    <t>LASTRO DE BRITA - (OBRAS CIVIS) - 2 vezes</t>
  </si>
  <si>
    <t>VB1</t>
  </si>
  <si>
    <t>VB2</t>
  </si>
  <si>
    <t>P1=P2=P3=P4=P5=P6=P7=P8=P9=P10=P11=P12=P13=P14=P15=P16</t>
  </si>
  <si>
    <t>m3</t>
  </si>
  <si>
    <t>Entre os blocos na vertical</t>
  </si>
  <si>
    <t>Armação das canaletas do trecho 5,10m</t>
  </si>
  <si>
    <t xml:space="preserve">Armação das canaletas do trecho 2,5 m </t>
  </si>
  <si>
    <t xml:space="preserve">Armação das canaletas do trecho 3,2 m </t>
  </si>
  <si>
    <t>TUBO RÍGIDO CORRUGADO PARA DRENAGEM DIAMETRO 100 MM</t>
  </si>
  <si>
    <t>TUBO SOLDAVEL P/ESGOTO DIAM. 100 MM</t>
  </si>
  <si>
    <t>Barbacas</t>
  </si>
  <si>
    <t>COMP. 1</t>
  </si>
  <si>
    <t>Vide projeto</t>
  </si>
  <si>
    <t>und</t>
  </si>
  <si>
    <t>UNIDADE</t>
  </si>
  <si>
    <t>JOELHO 90 GRAUS DIAMETRO 100 MM</t>
  </si>
  <si>
    <t>CAIXA DE INSPEÇÃO - TAMPA EM CONCRETO ARMADO 25 MPA E=5CM</t>
  </si>
  <si>
    <t>Parte do muro lateral</t>
  </si>
  <si>
    <t>GRUPO DE SERVIÇO: 178 - COBERTURA</t>
  </si>
  <si>
    <t>Muro da lateral</t>
  </si>
  <si>
    <t>GRUPO DE SERVIÇO: 189 - DIVERSOS</t>
  </si>
  <si>
    <t>COMP. 2</t>
  </si>
  <si>
    <t>Muro lateral</t>
  </si>
  <si>
    <t>10 horas por dia</t>
  </si>
  <si>
    <t>COBERTURA</t>
  </si>
  <si>
    <t>3.2</t>
  </si>
  <si>
    <t>3.4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</si>
  <si>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</si>
  <si>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</si>
  <si>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</si>
  <si>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</si>
  <si>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</si>
  <si>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</si>
  <si>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</si>
  <si>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</si>
  <si>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</si>
  <si>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</si>
  <si>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</si>
  <si>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</si>
  <si>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</si>
  <si>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</si>
  <si>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</si>
  <si>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</si>
  <si>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</si>
  <si>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</si>
  <si>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</si>
  <si>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</si>
  <si>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</si>
  <si>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</si>
  <si>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6.2</t>
  </si>
  <si>
    <t>6.3</t>
  </si>
  <si>
    <t>6.4</t>
  </si>
  <si>
    <t>6.5</t>
  </si>
  <si>
    <t>12.1</t>
  </si>
  <si>
    <t>3.3</t>
  </si>
  <si>
    <t>FERRAGEM DOS BLOCOS DE CONCRETO NA VERTICAL</t>
  </si>
  <si>
    <t>FERRAGEM DOS BLOCOS DE CONCRETO NA HORIZONTAL</t>
  </si>
  <si>
    <t>GRUPO DE SERVIÇO 178: COBERTURA</t>
  </si>
  <si>
    <t>DIVERSOS</t>
  </si>
  <si>
    <t>GRUPO DE SERVIÇO 189: DIVERSOS</t>
  </si>
  <si>
    <t>3.5</t>
  </si>
  <si>
    <t>ESCAVACAO MECANICA</t>
  </si>
  <si>
    <t>TERRENO VIZINHO</t>
  </si>
  <si>
    <t>Terreno vizinho</t>
  </si>
  <si>
    <t>3.6</t>
  </si>
  <si>
    <t>REATERRO COM APILOAMENTO</t>
  </si>
  <si>
    <t>CONSTRUÇÃO NOVO MURO NO CMEI JOÃO MARGON VAZ</t>
  </si>
  <si>
    <t>CREA: 1017759553/D-GO</t>
  </si>
  <si>
    <t>Rafaiane Gonçalves Purcino</t>
  </si>
  <si>
    <t xml:space="preserve">Rafaiane Gonçalves Purcino </t>
  </si>
  <si>
    <t>PROCESSO EMERGENCIAL PARA DEMOLIÇÃO E CONSTRUÇÃO DE MURO NO CMEI JOÃO MARGON VAZ</t>
  </si>
  <si>
    <t>TABELA 161 GOINFRA -  (ABRIL / 2022) CUSTOS DE OBRAS CIVIS - DESONERADA</t>
  </si>
  <si>
    <t>RUFO DE CHAPA GALVANIZADA</t>
  </si>
  <si>
    <t>TABELA SINAPI ABRIL/2022 - DESONERADA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</si>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</sst>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  <numFmt numFmtId="166" formatCode="_(&quot;R$ &quot;* #,##0.00_);_(&quot;R$ &quot;* \(#,##0.00\);_(&quot;R$ &quot;* &quot;-&quot;??_);_(@_)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/>
      <bottom style="thin">
        <color theme="2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8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" fontId="6" fillId="0" borderId="19" xfId="2" applyNumberFormat="1" applyFont="1" applyBorder="1" applyAlignment="1">
      <alignment horizontal="center" vertical="center"/>
    </xf>
    <xf numFmtId="4" fontId="6" fillId="0" borderId="20" xfId="2" applyNumberFormat="1" applyFont="1" applyBorder="1" applyAlignment="1">
      <alignment horizontal="center" vertical="center"/>
    </xf>
    <xf numFmtId="43" fontId="5" fillId="0" borderId="21" xfId="2" applyFont="1" applyBorder="1" applyAlignment="1">
      <alignment horizontal="center" vertical="center"/>
    </xf>
    <xf numFmtId="0" fontId="7" fillId="0" borderId="7" xfId="0" applyFont="1" applyBorder="1"/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4" fillId="0" borderId="7" xfId="0" applyFont="1" applyBorder="1"/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0" fillId="0" borderId="11" xfId="0" applyBorder="1"/>
    <xf numFmtId="2" fontId="9" fillId="0" borderId="0" xfId="0" applyNumberFormat="1" applyFont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0" borderId="0" xfId="1" applyFont="1" applyAlignment="1">
      <alignment horizontal="center" vertical="center"/>
    </xf>
    <xf numFmtId="2" fontId="9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0" xfId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9" fillId="0" borderId="0" xfId="1" applyFont="1" applyBorder="1" applyAlignment="1">
      <alignment horizontal="left" vertical="center"/>
    </xf>
    <xf numFmtId="164" fontId="9" fillId="0" borderId="0" xfId="1" applyFont="1" applyAlignment="1">
      <alignment horizontal="left" vertical="center"/>
    </xf>
    <xf numFmtId="0" fontId="0" fillId="2" borderId="1" xfId="0" applyFill="1" applyBorder="1"/>
    <xf numFmtId="164" fontId="0" fillId="2" borderId="1" xfId="1" applyFont="1" applyFill="1" applyBorder="1" applyAlignment="1">
      <alignment vertical="center"/>
    </xf>
    <xf numFmtId="10" fontId="0" fillId="2" borderId="1" xfId="13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9" fontId="2" fillId="2" borderId="1" xfId="13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0" fillId="2" borderId="1" xfId="13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10" fontId="0" fillId="2" borderId="13" xfId="0" applyNumberForma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2" fontId="8" fillId="0" borderId="1" xfId="1" applyNumberFormat="1" applyFont="1" applyFill="1" applyBorder="1" applyAlignment="1">
      <alignment horizontal="center" vertical="center"/>
    </xf>
    <xf numFmtId="2" fontId="9" fillId="0" borderId="0" xfId="1" applyNumberFormat="1" applyFont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 wrapText="1"/>
    </xf>
    <xf numFmtId="2" fontId="14" fillId="6" borderId="25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2" borderId="0" xfId="0" applyNumberFormat="1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9" fontId="18" fillId="0" borderId="0" xfId="5" applyNumberFormat="1" applyFont="1" applyAlignment="1">
      <alignment horizontal="center" vertical="center" wrapText="1"/>
    </xf>
    <xf numFmtId="2" fontId="9" fillId="0" borderId="8" xfId="1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2" fontId="9" fillId="0" borderId="10" xfId="1" applyNumberFormat="1" applyFont="1" applyBorder="1" applyAlignment="1">
      <alignment horizontal="center" vertical="center"/>
    </xf>
    <xf numFmtId="2" fontId="9" fillId="0" borderId="11" xfId="1" applyNumberFormat="1" applyFont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2" fontId="8" fillId="4" borderId="13" xfId="1" applyNumberFormat="1" applyFont="1" applyFill="1" applyBorder="1" applyAlignment="1">
      <alignment horizontal="center" vertical="center"/>
    </xf>
    <xf numFmtId="2" fontId="8" fillId="0" borderId="13" xfId="1" applyNumberFormat="1" applyFont="1" applyFill="1" applyBorder="1" applyAlignment="1">
      <alignment horizontal="center" vertical="center"/>
    </xf>
    <xf numFmtId="2" fontId="8" fillId="0" borderId="13" xfId="1" applyNumberFormat="1" applyFont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49" fontId="12" fillId="2" borderId="0" xfId="5" applyNumberFormat="1" applyFill="1" applyAlignment="1">
      <alignment vertical="center" wrapText="1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horizontal="center" vertical="center"/>
    </xf>
    <xf numFmtId="2" fontId="8" fillId="0" borderId="0" xfId="1" applyNumberFormat="1" applyFont="1" applyBorder="1" applyAlignment="1">
      <alignment horizontal="center" vertical="center"/>
    </xf>
    <xf numFmtId="2" fontId="8" fillId="0" borderId="8" xfId="1" applyNumberFormat="1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0" fontId="0" fillId="2" borderId="28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2" fontId="17" fillId="2" borderId="0" xfId="0" applyNumberFormat="1" applyFont="1" applyFill="1" applyAlignment="1">
      <alignment horizontal="left" vertical="center" wrapText="1"/>
    </xf>
    <xf numFmtId="2" fontId="8" fillId="2" borderId="0" xfId="0" applyNumberFormat="1" applyFont="1" applyFill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8" fillId="4" borderId="1" xfId="1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27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2" fontId="8" fillId="0" borderId="27" xfId="1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0" fillId="2" borderId="3" xfId="0" applyFill="1" applyBorder="1"/>
    <xf numFmtId="167" fontId="0" fillId="0" borderId="0" xfId="0" applyNumberFormat="1"/>
    <xf numFmtId="0" fontId="8" fillId="4" borderId="1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19" fillId="0" borderId="10" xfId="5" applyNumberFormat="1" applyFont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 wrapText="1"/>
    </xf>
    <xf numFmtId="2" fontId="14" fillId="6" borderId="33" xfId="0" applyNumberFormat="1" applyFont="1" applyFill="1" applyBorder="1" applyAlignment="1">
      <alignment horizontal="center" vertical="center"/>
    </xf>
    <xf numFmtId="164" fontId="14" fillId="6" borderId="34" xfId="1" applyFont="1" applyFill="1" applyBorder="1" applyAlignment="1">
      <alignment horizontal="center" vertical="center"/>
    </xf>
    <xf numFmtId="164" fontId="14" fillId="6" borderId="33" xfId="1" applyFont="1" applyFill="1" applyBorder="1" applyAlignment="1">
      <alignment horizontal="center" vertical="center"/>
    </xf>
    <xf numFmtId="164" fontId="14" fillId="6" borderId="35" xfId="1" applyFont="1" applyFill="1" applyBorder="1" applyAlignment="1">
      <alignment horizontal="center" vertical="center"/>
    </xf>
    <xf numFmtId="164" fontId="14" fillId="6" borderId="26" xfId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1" fillId="0" borderId="39" xfId="0" quotePrefix="1" applyFont="1" applyBorder="1" applyAlignment="1">
      <alignment horizontal="center" vertical="center"/>
    </xf>
    <xf numFmtId="0" fontId="21" fillId="0" borderId="39" xfId="0" quotePrefix="1" applyFont="1" applyBorder="1" applyAlignment="1">
      <alignment horizontal="left" vertical="center"/>
    </xf>
    <xf numFmtId="2" fontId="21" fillId="0" borderId="39" xfId="0" quotePrefix="1" applyNumberFormat="1" applyFont="1" applyBorder="1" applyAlignment="1">
      <alignment horizontal="center" vertical="center"/>
    </xf>
    <xf numFmtId="164" fontId="21" fillId="0" borderId="39" xfId="1" applyFont="1" applyBorder="1" applyAlignment="1">
      <alignment horizontal="left" vertical="center"/>
    </xf>
    <xf numFmtId="164" fontId="8" fillId="0" borderId="42" xfId="1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64" fontId="21" fillId="0" borderId="36" xfId="1" applyFont="1" applyBorder="1" applyAlignment="1">
      <alignment horizontal="left" vertical="center"/>
    </xf>
    <xf numFmtId="164" fontId="8" fillId="0" borderId="38" xfId="1" applyFont="1" applyFill="1" applyBorder="1" applyAlignment="1">
      <alignment horizontal="center" vertical="center"/>
    </xf>
    <xf numFmtId="164" fontId="14" fillId="6" borderId="13" xfId="1" applyFont="1" applyFill="1" applyBorder="1" applyAlignment="1">
      <alignment horizontal="center" vertical="center"/>
    </xf>
    <xf numFmtId="164" fontId="21" fillId="0" borderId="39" xfId="1" applyFont="1" applyBorder="1" applyAlignment="1">
      <alignment horizontal="left" vertical="center" wrapText="1"/>
    </xf>
    <xf numFmtId="164" fontId="21" fillId="0" borderId="42" xfId="1" applyFont="1" applyBorder="1" applyAlignment="1">
      <alignment horizontal="right" vertical="center" wrapText="1"/>
    </xf>
    <xf numFmtId="0" fontId="14" fillId="4" borderId="31" xfId="0" applyFont="1" applyFill="1" applyBorder="1" applyAlignment="1">
      <alignment horizontal="center" vertical="center"/>
    </xf>
    <xf numFmtId="164" fontId="14" fillId="5" borderId="13" xfId="0" applyNumberFormat="1" applyFont="1" applyFill="1" applyBorder="1" applyAlignment="1">
      <alignment vertical="center"/>
    </xf>
    <xf numFmtId="164" fontId="8" fillId="0" borderId="39" xfId="1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64" fontId="14" fillId="6" borderId="13" xfId="0" applyNumberFormat="1" applyFont="1" applyFill="1" applyBorder="1" applyAlignment="1">
      <alignment vertical="center"/>
    </xf>
    <xf numFmtId="0" fontId="21" fillId="0" borderId="0" xfId="0" quotePrefix="1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left" vertical="center"/>
    </xf>
    <xf numFmtId="2" fontId="21" fillId="0" borderId="0" xfId="0" quotePrefix="1" applyNumberFormat="1" applyFont="1" applyBorder="1" applyAlignment="1">
      <alignment horizontal="center" vertical="center"/>
    </xf>
    <xf numFmtId="164" fontId="8" fillId="0" borderId="0" xfId="1" applyFont="1" applyFill="1" applyBorder="1" applyAlignment="1">
      <alignment horizontal="left" vertical="center"/>
    </xf>
    <xf numFmtId="164" fontId="21" fillId="0" borderId="8" xfId="1" applyFont="1" applyBorder="1" applyAlignment="1">
      <alignment horizontal="right" vertical="center" wrapText="1"/>
    </xf>
    <xf numFmtId="0" fontId="21" fillId="0" borderId="39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 wrapText="1"/>
    </xf>
    <xf numFmtId="2" fontId="8" fillId="2" borderId="16" xfId="0" applyNumberFormat="1" applyFont="1" applyFill="1" applyBorder="1" applyAlignment="1">
      <alignment horizontal="center" vertical="center"/>
    </xf>
    <xf numFmtId="2" fontId="8" fillId="2" borderId="15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2" fontId="8" fillId="2" borderId="15" xfId="0" applyNumberFormat="1" applyFont="1" applyFill="1" applyBorder="1" applyAlignment="1">
      <alignment horizontal="left" vertical="center"/>
    </xf>
    <xf numFmtId="2" fontId="8" fillId="0" borderId="15" xfId="0" applyNumberFormat="1" applyFont="1" applyBorder="1" applyAlignment="1">
      <alignment horizontal="center" vertical="center"/>
    </xf>
    <xf numFmtId="164" fontId="8" fillId="0" borderId="15" xfId="1" applyFont="1" applyBorder="1" applyAlignment="1">
      <alignment horizontal="left" vertical="center"/>
    </xf>
    <xf numFmtId="164" fontId="14" fillId="0" borderId="15" xfId="1" applyFont="1" applyBorder="1" applyAlignment="1">
      <alignment horizontal="right" vertical="center"/>
    </xf>
    <xf numFmtId="164" fontId="14" fillId="0" borderId="17" xfId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left" vertical="center"/>
    </xf>
    <xf numFmtId="2" fontId="14" fillId="0" borderId="0" xfId="0" applyNumberFormat="1" applyFont="1" applyBorder="1" applyAlignment="1">
      <alignment horizontal="center" vertical="center"/>
    </xf>
    <xf numFmtId="164" fontId="14" fillId="0" borderId="0" xfId="1" applyFont="1" applyBorder="1" applyAlignment="1">
      <alignment horizontal="left" vertical="center"/>
    </xf>
    <xf numFmtId="164" fontId="14" fillId="0" borderId="0" xfId="1" applyFont="1" applyBorder="1" applyAlignment="1">
      <alignment horizontal="right" vertical="center"/>
    </xf>
    <xf numFmtId="164" fontId="14" fillId="0" borderId="8" xfId="1" applyFont="1" applyBorder="1" applyAlignment="1">
      <alignment horizontal="center" vertical="center"/>
    </xf>
    <xf numFmtId="2" fontId="8" fillId="2" borderId="9" xfId="0" applyNumberFormat="1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horizontal="left" vertical="center"/>
    </xf>
    <xf numFmtId="2" fontId="14" fillId="0" borderId="10" xfId="0" applyNumberFormat="1" applyFont="1" applyBorder="1" applyAlignment="1">
      <alignment horizontal="center" vertical="center"/>
    </xf>
    <xf numFmtId="164" fontId="14" fillId="0" borderId="10" xfId="1" applyFont="1" applyBorder="1" applyAlignment="1">
      <alignment horizontal="left" vertical="center"/>
    </xf>
    <xf numFmtId="164" fontId="14" fillId="0" borderId="10" xfId="1" applyFont="1" applyBorder="1" applyAlignment="1">
      <alignment horizontal="right" vertical="center"/>
    </xf>
    <xf numFmtId="164" fontId="14" fillId="0" borderId="11" xfId="1" applyFont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19" fillId="0" borderId="0" xfId="5" applyNumberFormat="1" applyFont="1" applyBorder="1" applyAlignment="1">
      <alignment horizontal="center" vertical="center" wrapText="1"/>
    </xf>
    <xf numFmtId="49" fontId="19" fillId="0" borderId="10" xfId="5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21" fillId="2" borderId="39" xfId="0" quotePrefix="1" applyFont="1" applyFill="1" applyBorder="1" applyAlignment="1">
      <alignment horizontal="center" vertical="center"/>
    </xf>
    <xf numFmtId="0" fontId="21" fillId="2" borderId="39" xfId="0" quotePrefix="1" applyFont="1" applyFill="1" applyBorder="1" applyAlignment="1">
      <alignment horizontal="left" vertical="center" wrapText="1"/>
    </xf>
    <xf numFmtId="2" fontId="21" fillId="2" borderId="39" xfId="0" quotePrefix="1" applyNumberFormat="1" applyFont="1" applyFill="1" applyBorder="1" applyAlignment="1">
      <alignment horizontal="center" vertical="center"/>
    </xf>
    <xf numFmtId="164" fontId="8" fillId="2" borderId="39" xfId="1" applyFont="1" applyFill="1" applyBorder="1" applyAlignment="1">
      <alignment horizontal="left" vertical="center"/>
    </xf>
    <xf numFmtId="164" fontId="21" fillId="2" borderId="42" xfId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2" fontId="8" fillId="4" borderId="2" xfId="1" applyNumberFormat="1" applyFont="1" applyFill="1" applyBorder="1" applyAlignment="1">
      <alignment horizontal="center" vertical="center"/>
    </xf>
    <xf numFmtId="2" fontId="8" fillId="4" borderId="3" xfId="1" applyNumberFormat="1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left" vertical="center"/>
    </xf>
    <xf numFmtId="0" fontId="14" fillId="6" borderId="22" xfId="0" applyFont="1" applyFill="1" applyBorder="1" applyAlignment="1">
      <alignment horizontal="left" vertical="center"/>
    </xf>
    <xf numFmtId="0" fontId="14" fillId="6" borderId="27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4" fillId="6" borderId="12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2" fontId="14" fillId="6" borderId="25" xfId="1" applyNumberFormat="1" applyFont="1" applyFill="1" applyBorder="1" applyAlignment="1">
      <alignment horizontal="center" vertical="center"/>
    </xf>
    <xf numFmtId="2" fontId="14" fillId="6" borderId="26" xfId="1" applyNumberFormat="1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 wrapText="1"/>
    </xf>
    <xf numFmtId="0" fontId="14" fillId="6" borderId="22" xfId="0" applyFont="1" applyFill="1" applyBorder="1" applyAlignment="1">
      <alignment horizontal="left" vertical="center" wrapText="1"/>
    </xf>
    <xf numFmtId="0" fontId="14" fillId="6" borderId="27" xfId="0" applyFont="1" applyFill="1" applyBorder="1" applyAlignment="1">
      <alignment horizontal="left" vertical="center" wrapText="1"/>
    </xf>
    <xf numFmtId="0" fontId="14" fillId="6" borderId="24" xfId="0" applyFont="1" applyFill="1" applyBorder="1" applyAlignment="1">
      <alignment horizontal="left" vertical="center"/>
    </xf>
    <xf numFmtId="0" fontId="14" fillId="6" borderId="23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center" vertical="center"/>
    </xf>
    <xf numFmtId="2" fontId="8" fillId="0" borderId="2" xfId="1" applyNumberFormat="1" applyFont="1" applyFill="1" applyBorder="1" applyAlignment="1">
      <alignment horizontal="center" vertical="center"/>
    </xf>
    <xf numFmtId="2" fontId="8" fillId="0" borderId="3" xfId="1" applyNumberFormat="1" applyFont="1" applyFill="1" applyBorder="1" applyAlignment="1">
      <alignment horizontal="center" vertical="center"/>
    </xf>
    <xf numFmtId="2" fontId="8" fillId="0" borderId="2" xfId="1" applyNumberFormat="1" applyFont="1" applyBorder="1" applyAlignment="1">
      <alignment horizontal="center" vertical="center"/>
    </xf>
    <xf numFmtId="2" fontId="8" fillId="0" borderId="3" xfId="1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22" xfId="1" applyNumberFormat="1" applyFont="1" applyBorder="1" applyAlignment="1">
      <alignment horizontal="center" vertical="center"/>
    </xf>
    <xf numFmtId="2" fontId="8" fillId="4" borderId="22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left" vertical="center"/>
    </xf>
    <xf numFmtId="2" fontId="8" fillId="0" borderId="8" xfId="0" applyNumberFormat="1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14" fillId="4" borderId="15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4" fillId="2" borderId="7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40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left" vertical="center"/>
    </xf>
    <xf numFmtId="0" fontId="14" fillId="6" borderId="25" xfId="0" applyFont="1" applyFill="1" applyBorder="1" applyAlignment="1">
      <alignment horizontal="left" vertical="center"/>
    </xf>
    <xf numFmtId="49" fontId="19" fillId="0" borderId="0" xfId="5" applyNumberFormat="1" applyFont="1" applyAlignment="1">
      <alignment horizontal="center" vertical="center" wrapText="1"/>
    </xf>
    <xf numFmtId="49" fontId="19" fillId="0" borderId="10" xfId="5" applyNumberFormat="1" applyFont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10" fontId="0" fillId="2" borderId="14" xfId="0" applyNumberFormat="1" applyFill="1" applyBorder="1" applyAlignment="1">
      <alignment horizontal="center" vertical="center"/>
    </xf>
    <xf numFmtId="10" fontId="0" fillId="2" borderId="29" xfId="0" applyNumberForma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2" fillId="2" borderId="44" xfId="0" applyFont="1" applyFill="1" applyBorder="1" applyAlignment="1">
      <alignment horizontal="right"/>
    </xf>
    <xf numFmtId="2" fontId="8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9" fontId="12" fillId="2" borderId="0" xfId="5" applyNumberFormat="1" applyFill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</cellXfs>
  <cellStyles count="15">
    <cellStyle name="Moeda" xfId="1" builtinId="4"/>
    <cellStyle name="Moeda 2" xfId="3" xr:uid="{00000000-0005-0000-0000-000001000000}"/>
    <cellStyle name="Moeda 2 2" xfId="10" xr:uid="{32B7A7B1-F038-44E2-B71D-9D742E83FCE0}"/>
    <cellStyle name="Moeda 3" xfId="6" xr:uid="{00000000-0005-0000-0000-000002000000}"/>
    <cellStyle name="Moeda 4" xfId="8" xr:uid="{4B4C0928-1805-4D9A-97CE-5DCA79ADB0FF}"/>
    <cellStyle name="Normal" xfId="0" builtinId="0"/>
    <cellStyle name="Normal 2" xfId="5" xr:uid="{00000000-0005-0000-0000-000004000000}"/>
    <cellStyle name="Normal 2 21" xfId="14" xr:uid="{C53104C7-610A-4229-9004-1163380C8534}"/>
    <cellStyle name="Porcentagem" xfId="13" builtinId="5"/>
    <cellStyle name="Vírgula" xfId="2" builtinId="3"/>
    <cellStyle name="Vírgula 2" xfId="4" xr:uid="{00000000-0005-0000-0000-000007000000}"/>
    <cellStyle name="Vírgula 2 2" xfId="11" xr:uid="{0FCDC4DB-BD5B-4D2E-A0AF-8B05B5E02D80}"/>
    <cellStyle name="Vírgula 3" xfId="7" xr:uid="{00000000-0005-0000-0000-000008000000}"/>
    <cellStyle name="Vírgula 3 2" xfId="12" xr:uid="{179258CB-261E-4719-A81D-5263A6283A9C}"/>
    <cellStyle name="Vírgula 4" xfId="9" xr:uid="{736F402F-D74B-49FE-BC5E-76307B448416}"/>
  </cellStyles>
  <dxfs count="0"/>
  <tableStyles count="0" defaultTableStyle="TableStyleMedium2" defaultPivotStyle="PivotStyleLight16"/>
  <colors>
    <mruColors>
      <color rgb="FFFE7C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Valor acumulado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CRONOGRAMA!$E$9:$G$9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CRONOGRAMA!$E$25:$G$25</c:f>
              <c:numCache>
                <c:formatCode>_("R$"* #,##0.00_);_("R$"* \(#,##0.00\);_("R$"*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BA-493A-83BE-891C70A9A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082384"/>
        <c:axId val="1183047968"/>
      </c:scatterChart>
      <c:valAx>
        <c:axId val="106908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3047968"/>
        <c:crosses val="autoZero"/>
        <c:crossBetween val="midCat"/>
      </c:valAx>
      <c:valAx>
        <c:axId val="118304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9082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300718</xdr:colOff>
      <xdr:row>2</xdr:row>
      <xdr:rowOff>104112</xdr:rowOff>
    </xdr:from>
    <xdr:ext cx="2797175" cy="876015"/>
    <xdr:pic>
      <xdr:nvPicPr>
        <xdr:cNvPr id="3" name="Imagem 2">
          <a:extLst>
            <a:ext uri="{FF2B5EF4-FFF2-40B4-BE49-F238E27FC236}">
              <a16:creationId xmlns:a16="http://schemas.microsoft.com/office/drawing/2014/main" id="{BC1DCED9-1B77-4CD9-8DB1-FC304A39D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039" y="593969"/>
          <a:ext cx="2797175" cy="87601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350043</xdr:colOff>
      <xdr:row>0</xdr:row>
      <xdr:rowOff>207865</xdr:rowOff>
    </xdr:from>
    <xdr:ext cx="2797175" cy="87601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" y="207865"/>
          <a:ext cx="2797175" cy="87601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32261</xdr:rowOff>
    </xdr:from>
    <xdr:ext cx="2438960" cy="763830"/>
    <xdr:pic>
      <xdr:nvPicPr>
        <xdr:cNvPr id="3" name="Imagem 2">
          <a:extLst>
            <a:ext uri="{FF2B5EF4-FFF2-40B4-BE49-F238E27FC236}">
              <a16:creationId xmlns:a16="http://schemas.microsoft.com/office/drawing/2014/main" id="{142CC5BB-0D08-49DA-BB15-A9625823E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2761"/>
          <a:ext cx="2438960" cy="763830"/>
        </a:xfrm>
        <a:prstGeom prst="rect">
          <a:avLst/>
        </a:prstGeom>
      </xdr:spPr>
    </xdr:pic>
    <xdr:clientData/>
  </xdr:oneCellAnchor>
  <xdr:twoCellAnchor>
    <xdr:from>
      <xdr:col>9</xdr:col>
      <xdr:colOff>76199</xdr:colOff>
      <xdr:row>8</xdr:row>
      <xdr:rowOff>28574</xdr:rowOff>
    </xdr:from>
    <xdr:to>
      <xdr:col>21</xdr:col>
      <xdr:colOff>28574</xdr:colOff>
      <xdr:row>19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17FA10-1AC0-4121-8D42-C4AC5CEB9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38101</xdr:rowOff>
    </xdr:from>
    <xdr:to>
      <xdr:col>2</xdr:col>
      <xdr:colOff>75961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38101"/>
          <a:ext cx="2180987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05B2D-2B8C-4543-87AB-DA6FE3FB5E0E}">
  <sheetPr>
    <pageSetUpPr fitToPage="1"/>
  </sheetPr>
  <dimension ref="B1:L168"/>
  <sheetViews>
    <sheetView showGridLines="0" topLeftCell="A154" zoomScale="70" zoomScaleNormal="70" workbookViewId="0">
      <selection activeCell="I89" sqref="I89"/>
    </sheetView>
  </sheetViews>
  <sheetFormatPr defaultColWidth="9.140625" defaultRowHeight="20.100000000000001" customHeight="1" x14ac:dyDescent="0.25"/>
  <cols>
    <col min="1" max="1" width="6.28515625" style="34" customWidth="1"/>
    <col min="2" max="2" width="9.28515625" style="28" customWidth="1"/>
    <col min="3" max="3" width="11.7109375" style="28" customWidth="1"/>
    <col min="4" max="4" width="8.140625" style="28" bestFit="1" customWidth="1"/>
    <col min="5" max="5" width="14.140625" style="28" customWidth="1"/>
    <col min="6" max="6" width="127.28515625" style="31" customWidth="1"/>
    <col min="7" max="7" width="6.85546875" style="26" bestFit="1" customWidth="1"/>
    <col min="8" max="8" width="31.7109375" style="33" bestFit="1" customWidth="1"/>
    <col min="9" max="9" width="24.85546875" style="33" customWidth="1"/>
    <col min="10" max="10" width="21.7109375" style="63" bestFit="1" customWidth="1"/>
    <col min="11" max="11" width="25.140625" style="34" bestFit="1" customWidth="1"/>
    <col min="12" max="16384" width="9.140625" style="34"/>
  </cols>
  <sheetData>
    <row r="1" spans="2:12" ht="20.100000000000001" customHeight="1" thickBot="1" x14ac:dyDescent="0.3"/>
    <row r="2" spans="2:12" ht="20.100000000000001" customHeight="1" x14ac:dyDescent="0.25">
      <c r="B2" s="243" t="s">
        <v>0</v>
      </c>
      <c r="C2" s="244"/>
      <c r="D2" s="244"/>
      <c r="E2" s="244"/>
      <c r="F2" s="244"/>
      <c r="G2" s="244"/>
      <c r="H2" s="244"/>
      <c r="I2" s="244"/>
      <c r="J2" s="245"/>
      <c r="L2" s="34">
        <v>9</v>
      </c>
    </row>
    <row r="3" spans="2:12" ht="20.100000000000001" customHeight="1" x14ac:dyDescent="0.25">
      <c r="B3" s="246" t="s">
        <v>1</v>
      </c>
      <c r="C3" s="247"/>
      <c r="D3" s="247"/>
      <c r="E3" s="247"/>
      <c r="F3" s="247"/>
      <c r="G3" s="247"/>
      <c r="H3" s="247"/>
      <c r="I3" s="247"/>
      <c r="J3" s="248"/>
    </row>
    <row r="4" spans="2:12" ht="20.100000000000001" customHeight="1" x14ac:dyDescent="0.25">
      <c r="B4" s="249" t="s">
        <v>228</v>
      </c>
      <c r="C4" s="250"/>
      <c r="D4" s="250"/>
      <c r="E4" s="250"/>
      <c r="F4" s="250"/>
      <c r="G4" s="250"/>
      <c r="H4" s="250"/>
      <c r="I4" s="250"/>
      <c r="J4" s="251"/>
    </row>
    <row r="5" spans="2:12" ht="21.75" customHeight="1" x14ac:dyDescent="0.25">
      <c r="B5" s="249" t="s">
        <v>2</v>
      </c>
      <c r="C5" s="250"/>
      <c r="D5" s="250"/>
      <c r="E5" s="250"/>
      <c r="F5" s="250"/>
      <c r="G5" s="250"/>
      <c r="H5" s="250"/>
      <c r="I5" s="250"/>
      <c r="J5" s="251"/>
    </row>
    <row r="6" spans="2:12" ht="22.5" customHeight="1" x14ac:dyDescent="0.25">
      <c r="B6" s="249" t="s">
        <v>229</v>
      </c>
      <c r="C6" s="252"/>
      <c r="D6" s="252"/>
      <c r="E6" s="252"/>
      <c r="F6" s="252"/>
      <c r="G6" s="252"/>
      <c r="H6" s="252"/>
      <c r="I6" s="252"/>
      <c r="J6" s="251"/>
    </row>
    <row r="7" spans="2:12" ht="18.75" customHeight="1" thickBot="1" x14ac:dyDescent="0.3">
      <c r="B7" s="284" t="s">
        <v>231</v>
      </c>
      <c r="C7" s="285"/>
      <c r="D7" s="285"/>
      <c r="E7" s="285"/>
      <c r="F7" s="285"/>
      <c r="G7" s="285"/>
      <c r="H7" s="285"/>
      <c r="I7" s="285"/>
      <c r="J7" s="286"/>
    </row>
    <row r="8" spans="2:12" ht="37.5" customHeight="1" thickBot="1" x14ac:dyDescent="0.3">
      <c r="B8" s="255" t="s">
        <v>3</v>
      </c>
      <c r="C8" s="256"/>
      <c r="D8" s="256"/>
      <c r="E8" s="256"/>
      <c r="F8" s="256"/>
      <c r="G8" s="256"/>
      <c r="H8" s="256"/>
      <c r="I8" s="256"/>
      <c r="J8" s="257"/>
    </row>
    <row r="9" spans="2:12" s="61" customFormat="1" ht="20.100000000000001" customHeight="1" x14ac:dyDescent="0.25">
      <c r="B9" s="81" t="s">
        <v>4</v>
      </c>
      <c r="C9" s="113"/>
      <c r="D9" s="258" t="s">
        <v>5</v>
      </c>
      <c r="E9" s="258"/>
      <c r="F9" s="64"/>
      <c r="G9" s="65" t="s">
        <v>6</v>
      </c>
      <c r="H9" s="253" t="s">
        <v>3</v>
      </c>
      <c r="I9" s="253"/>
      <c r="J9" s="254"/>
    </row>
    <row r="10" spans="2:12" s="61" customFormat="1" ht="20.100000000000001" customHeight="1" x14ac:dyDescent="0.25">
      <c r="B10" s="234" t="s">
        <v>7</v>
      </c>
      <c r="C10" s="235"/>
      <c r="D10" s="235"/>
      <c r="E10" s="235"/>
      <c r="F10" s="236"/>
      <c r="G10" s="236"/>
      <c r="H10" s="236"/>
      <c r="I10" s="236"/>
      <c r="J10" s="237"/>
    </row>
    <row r="11" spans="2:12" s="61" customFormat="1" ht="20.100000000000001" customHeight="1" x14ac:dyDescent="0.25">
      <c r="B11" s="82">
        <v>1</v>
      </c>
      <c r="C11" s="229">
        <v>20000</v>
      </c>
      <c r="D11" s="230"/>
      <c r="E11" s="231"/>
      <c r="F11" s="235" t="s">
        <v>8</v>
      </c>
      <c r="G11" s="235"/>
      <c r="H11" s="235"/>
      <c r="I11" s="235"/>
      <c r="J11" s="77" t="s">
        <v>9</v>
      </c>
    </row>
    <row r="12" spans="2:12" ht="20.100000000000001" customHeight="1" x14ac:dyDescent="0.25">
      <c r="B12" s="83" t="s">
        <v>10</v>
      </c>
      <c r="C12" s="107" t="s">
        <v>11</v>
      </c>
      <c r="D12" s="222">
        <v>20155</v>
      </c>
      <c r="E12" s="223"/>
      <c r="F12" s="69" t="s">
        <v>90</v>
      </c>
      <c r="G12" s="70" t="s">
        <v>14</v>
      </c>
      <c r="H12" s="108" t="s">
        <v>17</v>
      </c>
      <c r="I12" s="108" t="s">
        <v>16</v>
      </c>
      <c r="J12" s="78">
        <f>J13</f>
        <v>173.94</v>
      </c>
    </row>
    <row r="13" spans="2:12" ht="20.100000000000001" customHeight="1" x14ac:dyDescent="0.25">
      <c r="B13" s="240"/>
      <c r="C13" s="241"/>
      <c r="D13" s="241"/>
      <c r="E13" s="242"/>
      <c r="F13" s="71" t="s">
        <v>91</v>
      </c>
      <c r="G13" s="66" t="s">
        <v>14</v>
      </c>
      <c r="H13" s="62">
        <f>39.4+5.2</f>
        <v>44.6</v>
      </c>
      <c r="I13" s="62">
        <v>3.9</v>
      </c>
      <c r="J13" s="79">
        <f>I13*H13</f>
        <v>173.94</v>
      </c>
    </row>
    <row r="14" spans="2:12" ht="20.100000000000001" customHeight="1" x14ac:dyDescent="0.25">
      <c r="B14" s="83" t="s">
        <v>12</v>
      </c>
      <c r="C14" s="107" t="s">
        <v>11</v>
      </c>
      <c r="D14" s="222">
        <v>20190</v>
      </c>
      <c r="E14" s="223"/>
      <c r="F14" s="69" t="s">
        <v>92</v>
      </c>
      <c r="G14" s="70" t="s">
        <v>14</v>
      </c>
      <c r="H14" s="108" t="s">
        <v>17</v>
      </c>
      <c r="I14" s="108" t="s">
        <v>15</v>
      </c>
      <c r="J14" s="78">
        <f>J15</f>
        <v>78.8</v>
      </c>
    </row>
    <row r="15" spans="2:12" ht="20.100000000000001" customHeight="1" x14ac:dyDescent="0.25">
      <c r="B15" s="109"/>
      <c r="C15" s="110"/>
      <c r="D15" s="110"/>
      <c r="E15" s="111"/>
      <c r="F15" s="71" t="s">
        <v>93</v>
      </c>
      <c r="G15" s="66" t="s">
        <v>14</v>
      </c>
      <c r="H15" s="62">
        <v>39.4</v>
      </c>
      <c r="I15" s="62">
        <v>2</v>
      </c>
      <c r="J15" s="79">
        <f>I15*H15</f>
        <v>78.8</v>
      </c>
    </row>
    <row r="16" spans="2:12" ht="20.100000000000001" customHeight="1" x14ac:dyDescent="0.25">
      <c r="B16" s="83" t="s">
        <v>131</v>
      </c>
      <c r="C16" s="121" t="s">
        <v>11</v>
      </c>
      <c r="D16" s="222">
        <v>20129</v>
      </c>
      <c r="E16" s="223"/>
      <c r="F16" s="69" t="s">
        <v>132</v>
      </c>
      <c r="G16" s="70" t="s">
        <v>14</v>
      </c>
      <c r="H16" s="108" t="s">
        <v>17</v>
      </c>
      <c r="I16" s="108" t="s">
        <v>16</v>
      </c>
      <c r="J16" s="78">
        <f>J17</f>
        <v>4</v>
      </c>
    </row>
    <row r="17" spans="2:10" ht="20.100000000000001" customHeight="1" x14ac:dyDescent="0.25">
      <c r="B17" s="115"/>
      <c r="C17" s="116"/>
      <c r="D17" s="116"/>
      <c r="E17" s="117"/>
      <c r="F17" s="71" t="s">
        <v>133</v>
      </c>
      <c r="G17" s="66" t="s">
        <v>14</v>
      </c>
      <c r="H17" s="62">
        <v>0.8</v>
      </c>
      <c r="I17" s="62">
        <v>2.5</v>
      </c>
      <c r="J17" s="79">
        <f>I17*H17*2</f>
        <v>4</v>
      </c>
    </row>
    <row r="18" spans="2:10" ht="20.100000000000001" customHeight="1" x14ac:dyDescent="0.25">
      <c r="B18" s="234" t="s">
        <v>18</v>
      </c>
      <c r="C18" s="235"/>
      <c r="D18" s="235"/>
      <c r="E18" s="235"/>
      <c r="F18" s="236"/>
      <c r="G18" s="236"/>
      <c r="H18" s="236"/>
      <c r="I18" s="236"/>
      <c r="J18" s="237"/>
    </row>
    <row r="19" spans="2:10" ht="20.100000000000001" customHeight="1" x14ac:dyDescent="0.25">
      <c r="B19" s="82">
        <v>2</v>
      </c>
      <c r="C19" s="229">
        <v>30000</v>
      </c>
      <c r="D19" s="230"/>
      <c r="E19" s="231"/>
      <c r="F19" s="235" t="s">
        <v>19</v>
      </c>
      <c r="G19" s="235"/>
      <c r="H19" s="235"/>
      <c r="I19" s="235"/>
      <c r="J19" s="77" t="s">
        <v>9</v>
      </c>
    </row>
    <row r="20" spans="2:10" ht="20.100000000000001" customHeight="1" x14ac:dyDescent="0.25">
      <c r="B20" s="83" t="s">
        <v>20</v>
      </c>
      <c r="C20" s="107" t="s">
        <v>11</v>
      </c>
      <c r="D20" s="222">
        <v>30105</v>
      </c>
      <c r="E20" s="223"/>
      <c r="F20" s="69" t="s">
        <v>94</v>
      </c>
      <c r="G20" s="70" t="s">
        <v>13</v>
      </c>
      <c r="H20" s="108" t="s">
        <v>145</v>
      </c>
      <c r="I20" s="108" t="s">
        <v>31</v>
      </c>
      <c r="J20" s="78">
        <f>SUM(J21:J23)</f>
        <v>8.9364599999999985</v>
      </c>
    </row>
    <row r="21" spans="2:10" ht="20.100000000000001" customHeight="1" x14ac:dyDescent="0.25">
      <c r="B21" s="127"/>
      <c r="C21" s="128"/>
      <c r="D21" s="128"/>
      <c r="E21" s="129"/>
      <c r="F21" s="125" t="s">
        <v>90</v>
      </c>
      <c r="G21" s="66" t="s">
        <v>13</v>
      </c>
      <c r="H21" s="62">
        <f>J12</f>
        <v>173.94</v>
      </c>
      <c r="I21" s="62">
        <v>0.03</v>
      </c>
      <c r="J21" s="79">
        <f>(I21*H21)+(H21*I21*0.3)</f>
        <v>6.7836599999999994</v>
      </c>
    </row>
    <row r="22" spans="2:10" ht="20.100000000000001" customHeight="1" x14ac:dyDescent="0.25">
      <c r="B22" s="134"/>
      <c r="C22" s="135"/>
      <c r="D22" s="135"/>
      <c r="E22" s="136"/>
      <c r="F22" s="125" t="s">
        <v>92</v>
      </c>
      <c r="G22" s="66" t="s">
        <v>13</v>
      </c>
      <c r="H22" s="62">
        <f>J14</f>
        <v>78.8</v>
      </c>
      <c r="I22" s="62">
        <v>0.02</v>
      </c>
      <c r="J22" s="79">
        <f t="shared" ref="J22:J23" si="0">(I22*H22)+(H22*I22*0.3)</f>
        <v>2.0488</v>
      </c>
    </row>
    <row r="23" spans="2:10" ht="20.100000000000001" customHeight="1" x14ac:dyDescent="0.25">
      <c r="B23" s="130"/>
      <c r="C23" s="131"/>
      <c r="D23" s="131"/>
      <c r="E23" s="132"/>
      <c r="F23" s="125" t="s">
        <v>132</v>
      </c>
      <c r="G23" s="66" t="s">
        <v>13</v>
      </c>
      <c r="H23" s="62">
        <f>J16</f>
        <v>4</v>
      </c>
      <c r="I23" s="62">
        <v>0.02</v>
      </c>
      <c r="J23" s="79">
        <f t="shared" si="0"/>
        <v>0.10400000000000001</v>
      </c>
    </row>
    <row r="24" spans="2:10" ht="20.100000000000001" customHeight="1" x14ac:dyDescent="0.25">
      <c r="B24" s="234" t="s">
        <v>21</v>
      </c>
      <c r="C24" s="235"/>
      <c r="D24" s="235"/>
      <c r="E24" s="235"/>
      <c r="F24" s="236"/>
      <c r="G24" s="236"/>
      <c r="H24" s="236"/>
      <c r="I24" s="236"/>
      <c r="J24" s="237"/>
    </row>
    <row r="25" spans="2:10" ht="20.100000000000001" customHeight="1" x14ac:dyDescent="0.25">
      <c r="B25" s="82">
        <v>3</v>
      </c>
      <c r="C25" s="229">
        <v>40000</v>
      </c>
      <c r="D25" s="230"/>
      <c r="E25" s="231"/>
      <c r="F25" s="235" t="s">
        <v>22</v>
      </c>
      <c r="G25" s="235"/>
      <c r="H25" s="235"/>
      <c r="I25" s="235"/>
      <c r="J25" s="77" t="s">
        <v>9</v>
      </c>
    </row>
    <row r="26" spans="2:10" s="61" customFormat="1" ht="20.100000000000001" customHeight="1" x14ac:dyDescent="0.25">
      <c r="B26" s="84"/>
      <c r="C26" s="259"/>
      <c r="D26" s="260"/>
      <c r="E26" s="261"/>
      <c r="F26" s="262" t="s">
        <v>134</v>
      </c>
      <c r="G26" s="263"/>
      <c r="H26" s="263"/>
      <c r="I26" s="263"/>
      <c r="J26" s="264"/>
    </row>
    <row r="27" spans="2:10" s="61" customFormat="1" ht="20.100000000000001" customHeight="1" x14ac:dyDescent="0.25">
      <c r="B27" s="83" t="s">
        <v>24</v>
      </c>
      <c r="C27" s="121" t="s">
        <v>11</v>
      </c>
      <c r="D27" s="222">
        <v>41002</v>
      </c>
      <c r="E27" s="223"/>
      <c r="F27" s="69" t="s">
        <v>139</v>
      </c>
      <c r="G27" s="70" t="s">
        <v>14</v>
      </c>
      <c r="H27" s="224" t="s">
        <v>25</v>
      </c>
      <c r="I27" s="225"/>
      <c r="J27" s="78">
        <f>SUM(J28:J29)</f>
        <v>15.641499999999999</v>
      </c>
    </row>
    <row r="28" spans="2:10" ht="20.100000000000001" customHeight="1" x14ac:dyDescent="0.25">
      <c r="B28" s="127"/>
      <c r="C28" s="128"/>
      <c r="D28" s="128"/>
      <c r="E28" s="129"/>
      <c r="F28" s="71" t="s">
        <v>153</v>
      </c>
      <c r="G28" s="66" t="s">
        <v>14</v>
      </c>
      <c r="H28" s="270">
        <f>39.4*0.35</f>
        <v>13.79</v>
      </c>
      <c r="I28" s="271"/>
      <c r="J28" s="80">
        <f>H28</f>
        <v>13.79</v>
      </c>
    </row>
    <row r="29" spans="2:10" ht="20.100000000000001" customHeight="1" x14ac:dyDescent="0.25">
      <c r="B29" s="130"/>
      <c r="C29" s="131"/>
      <c r="D29" s="131"/>
      <c r="E29" s="132"/>
      <c r="F29" s="71" t="s">
        <v>154</v>
      </c>
      <c r="G29" s="66" t="s">
        <v>14</v>
      </c>
      <c r="H29" s="270">
        <f>5.29*0.35</f>
        <v>1.8514999999999999</v>
      </c>
      <c r="I29" s="271"/>
      <c r="J29" s="80">
        <f>H29</f>
        <v>1.8514999999999999</v>
      </c>
    </row>
    <row r="30" spans="2:10" s="61" customFormat="1" ht="20.100000000000001" customHeight="1" x14ac:dyDescent="0.25">
      <c r="B30" s="83" t="s">
        <v>183</v>
      </c>
      <c r="C30" s="121" t="s">
        <v>11</v>
      </c>
      <c r="D30" s="222">
        <v>40101</v>
      </c>
      <c r="E30" s="223"/>
      <c r="F30" s="69" t="s">
        <v>135</v>
      </c>
      <c r="G30" s="70" t="s">
        <v>13</v>
      </c>
      <c r="H30" s="108" t="s">
        <v>25</v>
      </c>
      <c r="I30" s="108" t="s">
        <v>16</v>
      </c>
      <c r="J30" s="78">
        <f>SUM(J31:J32)</f>
        <v>3.129</v>
      </c>
    </row>
    <row r="31" spans="2:10" ht="20.100000000000001" customHeight="1" x14ac:dyDescent="0.25">
      <c r="B31" s="272"/>
      <c r="C31" s="273"/>
      <c r="D31" s="273"/>
      <c r="E31" s="274"/>
      <c r="F31" s="71" t="s">
        <v>153</v>
      </c>
      <c r="G31" s="66" t="s">
        <v>13</v>
      </c>
      <c r="H31" s="112">
        <v>7.88</v>
      </c>
      <c r="I31" s="112">
        <v>0.35</v>
      </c>
      <c r="J31" s="126">
        <f>I31*H31</f>
        <v>2.758</v>
      </c>
    </row>
    <row r="32" spans="2:10" ht="20.100000000000001" customHeight="1" x14ac:dyDescent="0.25">
      <c r="B32" s="275"/>
      <c r="C32" s="276"/>
      <c r="D32" s="276"/>
      <c r="E32" s="277"/>
      <c r="F32" s="71" t="s">
        <v>154</v>
      </c>
      <c r="G32" s="66" t="s">
        <v>13</v>
      </c>
      <c r="H32" s="112">
        <v>1.06</v>
      </c>
      <c r="I32" s="112">
        <v>0.35</v>
      </c>
      <c r="J32" s="126">
        <f>I32*H32</f>
        <v>0.371</v>
      </c>
    </row>
    <row r="33" spans="2:10" s="61" customFormat="1" ht="20.100000000000001" customHeight="1" x14ac:dyDescent="0.25">
      <c r="B33" s="84"/>
      <c r="C33" s="259"/>
      <c r="D33" s="260"/>
      <c r="E33" s="261"/>
      <c r="F33" s="262" t="s">
        <v>138</v>
      </c>
      <c r="G33" s="263"/>
      <c r="H33" s="263"/>
      <c r="I33" s="263"/>
      <c r="J33" s="264"/>
    </row>
    <row r="34" spans="2:10" s="61" customFormat="1" ht="20.100000000000001" customHeight="1" x14ac:dyDescent="0.25">
      <c r="B34" s="83" t="s">
        <v>212</v>
      </c>
      <c r="C34" s="121" t="s">
        <v>11</v>
      </c>
      <c r="D34" s="222">
        <v>41002</v>
      </c>
      <c r="E34" s="223"/>
      <c r="F34" s="69" t="s">
        <v>139</v>
      </c>
      <c r="G34" s="70" t="s">
        <v>14</v>
      </c>
      <c r="H34" s="108" t="s">
        <v>17</v>
      </c>
      <c r="I34" s="108" t="s">
        <v>15</v>
      </c>
      <c r="J34" s="78">
        <f>J35</f>
        <v>5.76</v>
      </c>
    </row>
    <row r="35" spans="2:10" ht="20.100000000000001" customHeight="1" x14ac:dyDescent="0.25">
      <c r="B35" s="240"/>
      <c r="C35" s="241"/>
      <c r="D35" s="241"/>
      <c r="E35" s="242"/>
      <c r="F35" s="71" t="s">
        <v>155</v>
      </c>
      <c r="G35" s="66" t="s">
        <v>14</v>
      </c>
      <c r="H35" s="112">
        <v>0.6</v>
      </c>
      <c r="I35" s="112">
        <v>0.6</v>
      </c>
      <c r="J35" s="80">
        <f>I35*H35*16</f>
        <v>5.76</v>
      </c>
    </row>
    <row r="36" spans="2:10" s="61" customFormat="1" ht="20.100000000000001" customHeight="1" x14ac:dyDescent="0.25">
      <c r="B36" s="83" t="s">
        <v>184</v>
      </c>
      <c r="C36" s="121" t="s">
        <v>11</v>
      </c>
      <c r="D36" s="222">
        <v>40101</v>
      </c>
      <c r="E36" s="223"/>
      <c r="F36" s="69" t="s">
        <v>135</v>
      </c>
      <c r="G36" s="70" t="s">
        <v>13</v>
      </c>
      <c r="H36" s="108" t="s">
        <v>25</v>
      </c>
      <c r="I36" s="108" t="s">
        <v>16</v>
      </c>
      <c r="J36" s="78">
        <f>J37</f>
        <v>2.3039999999999998</v>
      </c>
    </row>
    <row r="37" spans="2:10" ht="20.100000000000001" customHeight="1" x14ac:dyDescent="0.25">
      <c r="B37" s="122"/>
      <c r="C37" s="123"/>
      <c r="D37" s="123"/>
      <c r="E37" s="124"/>
      <c r="F37" s="71" t="s">
        <v>155</v>
      </c>
      <c r="G37" s="66" t="s">
        <v>13</v>
      </c>
      <c r="H37" s="112">
        <f>0.6*0.6</f>
        <v>0.36</v>
      </c>
      <c r="I37" s="112">
        <v>0.4</v>
      </c>
      <c r="J37" s="80">
        <f>I37*H37*16</f>
        <v>2.3039999999999998</v>
      </c>
    </row>
    <row r="38" spans="2:10" s="61" customFormat="1" ht="20.100000000000001" customHeight="1" x14ac:dyDescent="0.25">
      <c r="B38" s="84"/>
      <c r="C38" s="259"/>
      <c r="D38" s="260"/>
      <c r="E38" s="261"/>
      <c r="F38" s="262" t="s">
        <v>220</v>
      </c>
      <c r="G38" s="263"/>
      <c r="H38" s="263"/>
      <c r="I38" s="263"/>
      <c r="J38" s="264"/>
    </row>
    <row r="39" spans="2:10" s="61" customFormat="1" ht="20.100000000000001" customHeight="1" x14ac:dyDescent="0.25">
      <c r="B39" s="83" t="s">
        <v>218</v>
      </c>
      <c r="C39" s="146" t="s">
        <v>11</v>
      </c>
      <c r="D39" s="222">
        <v>41004</v>
      </c>
      <c r="E39" s="223"/>
      <c r="F39" s="69" t="s">
        <v>219</v>
      </c>
      <c r="G39" s="70" t="s">
        <v>13</v>
      </c>
      <c r="H39" s="108" t="s">
        <v>25</v>
      </c>
      <c r="I39" s="108" t="s">
        <v>16</v>
      </c>
      <c r="J39" s="78">
        <f>J40</f>
        <v>197</v>
      </c>
    </row>
    <row r="40" spans="2:10" ht="20.100000000000001" customHeight="1" x14ac:dyDescent="0.25">
      <c r="B40" s="147"/>
      <c r="C40" s="148"/>
      <c r="D40" s="148"/>
      <c r="E40" s="149"/>
      <c r="F40" s="71" t="s">
        <v>221</v>
      </c>
      <c r="G40" s="66" t="s">
        <v>13</v>
      </c>
      <c r="H40" s="112">
        <f>39.4*2</f>
        <v>78.8</v>
      </c>
      <c r="I40" s="112">
        <v>2.5</v>
      </c>
      <c r="J40" s="80">
        <f>I40*H40</f>
        <v>197</v>
      </c>
    </row>
    <row r="41" spans="2:10" s="61" customFormat="1" ht="20.100000000000001" customHeight="1" x14ac:dyDescent="0.25">
      <c r="B41" s="83" t="s">
        <v>222</v>
      </c>
      <c r="C41" s="146" t="s">
        <v>11</v>
      </c>
      <c r="D41" s="222">
        <v>40902</v>
      </c>
      <c r="E41" s="223"/>
      <c r="F41" s="69" t="s">
        <v>223</v>
      </c>
      <c r="G41" s="70" t="s">
        <v>13</v>
      </c>
      <c r="H41" s="108" t="s">
        <v>17</v>
      </c>
      <c r="I41" s="108" t="s">
        <v>15</v>
      </c>
      <c r="J41" s="78">
        <f>J42</f>
        <v>197</v>
      </c>
    </row>
    <row r="42" spans="2:10" ht="20.100000000000001" customHeight="1" x14ac:dyDescent="0.25">
      <c r="B42" s="147"/>
      <c r="C42" s="148"/>
      <c r="D42" s="148"/>
      <c r="E42" s="149"/>
      <c r="F42" s="71" t="s">
        <v>221</v>
      </c>
      <c r="G42" s="66" t="s">
        <v>13</v>
      </c>
      <c r="H42" s="112">
        <f>39.4*2</f>
        <v>78.8</v>
      </c>
      <c r="I42" s="112">
        <v>2.5</v>
      </c>
      <c r="J42" s="80">
        <f>I42*H42</f>
        <v>197</v>
      </c>
    </row>
    <row r="43" spans="2:10" ht="15.75" x14ac:dyDescent="0.25">
      <c r="B43" s="234" t="s">
        <v>27</v>
      </c>
      <c r="C43" s="235"/>
      <c r="D43" s="235"/>
      <c r="E43" s="235"/>
      <c r="F43" s="236"/>
      <c r="G43" s="236"/>
      <c r="H43" s="236"/>
      <c r="I43" s="236"/>
      <c r="J43" s="237"/>
    </row>
    <row r="44" spans="2:10" s="61" customFormat="1" ht="20.100000000000001" customHeight="1" x14ac:dyDescent="0.25">
      <c r="B44" s="82">
        <v>4</v>
      </c>
      <c r="C44" s="229">
        <v>50000</v>
      </c>
      <c r="D44" s="230"/>
      <c r="E44" s="231"/>
      <c r="F44" s="235" t="s">
        <v>28</v>
      </c>
      <c r="G44" s="235"/>
      <c r="H44" s="235"/>
      <c r="I44" s="235"/>
      <c r="J44" s="77" t="s">
        <v>9</v>
      </c>
    </row>
    <row r="45" spans="2:10" s="61" customFormat="1" ht="20.100000000000001" customHeight="1" x14ac:dyDescent="0.25">
      <c r="B45" s="239"/>
      <c r="C45" s="230"/>
      <c r="D45" s="230"/>
      <c r="E45" s="231"/>
      <c r="F45" s="232" t="s">
        <v>137</v>
      </c>
      <c r="G45" s="227"/>
      <c r="H45" s="227"/>
      <c r="I45" s="227"/>
      <c r="J45" s="228"/>
    </row>
    <row r="46" spans="2:10" ht="20.100000000000001" customHeight="1" x14ac:dyDescent="0.25">
      <c r="B46" s="83" t="s">
        <v>29</v>
      </c>
      <c r="C46" s="107" t="s">
        <v>11</v>
      </c>
      <c r="D46" s="222">
        <v>60470</v>
      </c>
      <c r="E46" s="223"/>
      <c r="F46" s="69" t="s">
        <v>157</v>
      </c>
      <c r="G46" s="70" t="s">
        <v>13</v>
      </c>
      <c r="H46" s="108" t="s">
        <v>25</v>
      </c>
      <c r="I46" s="108" t="s">
        <v>31</v>
      </c>
      <c r="J46" s="78">
        <f>J47</f>
        <v>27.58</v>
      </c>
    </row>
    <row r="47" spans="2:10" ht="20.100000000000001" customHeight="1" x14ac:dyDescent="0.25">
      <c r="B47" s="240"/>
      <c r="C47" s="241"/>
      <c r="D47" s="241"/>
      <c r="E47" s="242"/>
      <c r="F47" s="71" t="s">
        <v>122</v>
      </c>
      <c r="G47" s="66" t="s">
        <v>13</v>
      </c>
      <c r="H47" s="112">
        <f>39.4*0.7</f>
        <v>27.58</v>
      </c>
      <c r="I47" s="112">
        <v>0.5</v>
      </c>
      <c r="J47" s="80">
        <f>H47*I47*2</f>
        <v>27.58</v>
      </c>
    </row>
    <row r="48" spans="2:10" s="61" customFormat="1" ht="20.100000000000001" customHeight="1" x14ac:dyDescent="0.25">
      <c r="B48" s="239"/>
      <c r="C48" s="230"/>
      <c r="D48" s="230"/>
      <c r="E48" s="231"/>
      <c r="F48" s="232" t="s">
        <v>23</v>
      </c>
      <c r="G48" s="227"/>
      <c r="H48" s="227"/>
      <c r="I48" s="227"/>
      <c r="J48" s="228"/>
    </row>
    <row r="49" spans="2:10" ht="20.100000000000001" customHeight="1" x14ac:dyDescent="0.25">
      <c r="B49" s="83" t="s">
        <v>185</v>
      </c>
      <c r="C49" s="121" t="s">
        <v>11</v>
      </c>
      <c r="D49" s="222">
        <v>50302</v>
      </c>
      <c r="E49" s="223"/>
      <c r="F49" s="69" t="s">
        <v>136</v>
      </c>
      <c r="G49" s="70" t="s">
        <v>30</v>
      </c>
      <c r="H49" s="224" t="s">
        <v>17</v>
      </c>
      <c r="I49" s="225"/>
      <c r="J49" s="78">
        <f>J50</f>
        <v>48</v>
      </c>
    </row>
    <row r="50" spans="2:10" ht="20.100000000000001" customHeight="1" x14ac:dyDescent="0.25">
      <c r="B50" s="122"/>
      <c r="C50" s="123"/>
      <c r="D50" s="123"/>
      <c r="E50" s="124"/>
      <c r="F50" s="71" t="s">
        <v>156</v>
      </c>
      <c r="G50" s="66" t="s">
        <v>30</v>
      </c>
      <c r="H50" s="270">
        <v>3</v>
      </c>
      <c r="I50" s="271"/>
      <c r="J50" s="80">
        <f>H50*16</f>
        <v>48</v>
      </c>
    </row>
    <row r="51" spans="2:10" ht="20.100000000000001" customHeight="1" x14ac:dyDescent="0.25">
      <c r="B51" s="83" t="s">
        <v>186</v>
      </c>
      <c r="C51" s="121" t="s">
        <v>11</v>
      </c>
      <c r="D51" s="222">
        <v>52005</v>
      </c>
      <c r="E51" s="223"/>
      <c r="F51" s="69" t="s">
        <v>149</v>
      </c>
      <c r="G51" s="70" t="s">
        <v>144</v>
      </c>
      <c r="H51" s="108" t="s">
        <v>17</v>
      </c>
      <c r="I51" s="108" t="s">
        <v>152</v>
      </c>
      <c r="J51" s="78">
        <f>J52</f>
        <v>181.44</v>
      </c>
    </row>
    <row r="52" spans="2:10" ht="20.100000000000001" customHeight="1" x14ac:dyDescent="0.25">
      <c r="B52" s="122"/>
      <c r="C52" s="123"/>
      <c r="D52" s="123"/>
      <c r="E52" s="124"/>
      <c r="F52" s="71" t="s">
        <v>156</v>
      </c>
      <c r="G52" s="66" t="s">
        <v>144</v>
      </c>
      <c r="H52" s="112">
        <f>6*3*16</f>
        <v>288</v>
      </c>
      <c r="I52" s="112">
        <v>0.63</v>
      </c>
      <c r="J52" s="80">
        <f>I52*H52</f>
        <v>181.44</v>
      </c>
    </row>
    <row r="53" spans="2:10" ht="20.100000000000001" customHeight="1" x14ac:dyDescent="0.25">
      <c r="B53" s="83" t="s">
        <v>187</v>
      </c>
      <c r="C53" s="121" t="s">
        <v>11</v>
      </c>
      <c r="D53" s="222">
        <v>52014</v>
      </c>
      <c r="E53" s="223"/>
      <c r="F53" s="69" t="s">
        <v>141</v>
      </c>
      <c r="G53" s="70" t="s">
        <v>144</v>
      </c>
      <c r="H53" s="108" t="s">
        <v>17</v>
      </c>
      <c r="I53" s="108" t="s">
        <v>152</v>
      </c>
      <c r="J53" s="78">
        <f>J54</f>
        <v>37.606399999999994</v>
      </c>
    </row>
    <row r="54" spans="2:10" ht="20.100000000000001" customHeight="1" x14ac:dyDescent="0.25">
      <c r="B54" s="122"/>
      <c r="C54" s="123"/>
      <c r="D54" s="123"/>
      <c r="E54" s="124"/>
      <c r="F54" s="71" t="s">
        <v>156</v>
      </c>
      <c r="G54" s="66" t="s">
        <v>144</v>
      </c>
      <c r="H54" s="112">
        <f>13*1.13*16</f>
        <v>235.03999999999996</v>
      </c>
      <c r="I54" s="112">
        <v>0.16</v>
      </c>
      <c r="J54" s="80">
        <f>I54*H54</f>
        <v>37.606399999999994</v>
      </c>
    </row>
    <row r="55" spans="2:10" ht="20.100000000000001" customHeight="1" x14ac:dyDescent="0.25">
      <c r="B55" s="83" t="s">
        <v>188</v>
      </c>
      <c r="C55" s="121" t="s">
        <v>11</v>
      </c>
      <c r="D55" s="222">
        <v>51029</v>
      </c>
      <c r="E55" s="223"/>
      <c r="F55" s="69" t="s">
        <v>142</v>
      </c>
      <c r="G55" s="70" t="s">
        <v>13</v>
      </c>
      <c r="H55" s="108" t="s">
        <v>145</v>
      </c>
      <c r="I55" s="108" t="s">
        <v>26</v>
      </c>
      <c r="J55" s="78">
        <f>J56</f>
        <v>3.3912000000000004</v>
      </c>
    </row>
    <row r="56" spans="2:10" ht="20.100000000000001" customHeight="1" x14ac:dyDescent="0.25">
      <c r="B56" s="122"/>
      <c r="C56" s="123"/>
      <c r="D56" s="123"/>
      <c r="E56" s="124"/>
      <c r="F56" s="71" t="s">
        <v>156</v>
      </c>
      <c r="G56" s="66" t="s">
        <v>13</v>
      </c>
      <c r="H56" s="112">
        <f>((3.14*0.3^2)/4)</f>
        <v>7.0650000000000004E-2</v>
      </c>
      <c r="I56" s="112">
        <v>3</v>
      </c>
      <c r="J56" s="80">
        <f>I56*H56*16</f>
        <v>3.3912000000000004</v>
      </c>
    </row>
    <row r="57" spans="2:10" ht="20.100000000000001" customHeight="1" x14ac:dyDescent="0.25">
      <c r="B57" s="83" t="s">
        <v>189</v>
      </c>
      <c r="C57" s="121" t="s">
        <v>11</v>
      </c>
      <c r="D57" s="222">
        <v>51055</v>
      </c>
      <c r="E57" s="223"/>
      <c r="F57" s="69" t="s">
        <v>143</v>
      </c>
      <c r="G57" s="70" t="s">
        <v>13</v>
      </c>
      <c r="H57" s="108" t="s">
        <v>145</v>
      </c>
      <c r="I57" s="108" t="s">
        <v>26</v>
      </c>
      <c r="J57" s="78">
        <f>J58</f>
        <v>3.3912000000000004</v>
      </c>
    </row>
    <row r="58" spans="2:10" ht="20.100000000000001" customHeight="1" x14ac:dyDescent="0.25">
      <c r="B58" s="122"/>
      <c r="C58" s="123"/>
      <c r="D58" s="123"/>
      <c r="E58" s="124"/>
      <c r="F58" s="71" t="s">
        <v>156</v>
      </c>
      <c r="G58" s="66" t="s">
        <v>13</v>
      </c>
      <c r="H58" s="112">
        <f>((3.14*0.3^2)/4)</f>
        <v>7.0650000000000004E-2</v>
      </c>
      <c r="I58" s="112">
        <v>3</v>
      </c>
      <c r="J58" s="80">
        <f>I58*H58*16</f>
        <v>3.3912000000000004</v>
      </c>
    </row>
    <row r="59" spans="2:10" ht="20.100000000000001" customHeight="1" x14ac:dyDescent="0.25">
      <c r="B59" s="239"/>
      <c r="C59" s="230"/>
      <c r="D59" s="230"/>
      <c r="E59" s="231"/>
      <c r="F59" s="232" t="s">
        <v>138</v>
      </c>
      <c r="G59" s="227"/>
      <c r="H59" s="227"/>
      <c r="I59" s="227"/>
      <c r="J59" s="228"/>
    </row>
    <row r="60" spans="2:10" ht="20.100000000000001" customHeight="1" x14ac:dyDescent="0.25">
      <c r="B60" s="83" t="s">
        <v>190</v>
      </c>
      <c r="C60" s="121" t="s">
        <v>11</v>
      </c>
      <c r="D60" s="222">
        <v>51009</v>
      </c>
      <c r="E60" s="223"/>
      <c r="F60" s="69" t="s">
        <v>146</v>
      </c>
      <c r="G60" s="70" t="s">
        <v>14</v>
      </c>
      <c r="H60" s="108" t="s">
        <v>17</v>
      </c>
      <c r="I60" s="108" t="s">
        <v>16</v>
      </c>
      <c r="J60" s="78">
        <f>J61</f>
        <v>15.36</v>
      </c>
    </row>
    <row r="61" spans="2:10" ht="20.100000000000001" customHeight="1" x14ac:dyDescent="0.25">
      <c r="B61" s="122"/>
      <c r="C61" s="123"/>
      <c r="D61" s="123"/>
      <c r="E61" s="124"/>
      <c r="F61" s="71" t="s">
        <v>155</v>
      </c>
      <c r="G61" s="66" t="s">
        <v>14</v>
      </c>
      <c r="H61" s="112">
        <f>0.6*4</f>
        <v>2.4</v>
      </c>
      <c r="I61" s="112">
        <v>0.4</v>
      </c>
      <c r="J61" s="80">
        <f>I61*H61*16</f>
        <v>15.36</v>
      </c>
    </row>
    <row r="62" spans="2:10" ht="20.100000000000001" customHeight="1" x14ac:dyDescent="0.25">
      <c r="B62" s="83" t="s">
        <v>191</v>
      </c>
      <c r="C62" s="121" t="s">
        <v>11</v>
      </c>
      <c r="D62" s="222">
        <v>52005</v>
      </c>
      <c r="E62" s="223"/>
      <c r="F62" s="69" t="s">
        <v>149</v>
      </c>
      <c r="G62" s="70" t="s">
        <v>144</v>
      </c>
      <c r="H62" s="108" t="s">
        <v>17</v>
      </c>
      <c r="I62" s="108" t="s">
        <v>152</v>
      </c>
      <c r="J62" s="78">
        <f>J63</f>
        <v>22.400000000000002</v>
      </c>
    </row>
    <row r="63" spans="2:10" ht="20.100000000000001" customHeight="1" x14ac:dyDescent="0.25">
      <c r="B63" s="122"/>
      <c r="C63" s="123"/>
      <c r="D63" s="123"/>
      <c r="E63" s="124"/>
      <c r="F63" s="71" t="s">
        <v>155</v>
      </c>
      <c r="G63" s="66" t="s">
        <v>144</v>
      </c>
      <c r="H63" s="112">
        <f>5*0.7*16</f>
        <v>56</v>
      </c>
      <c r="I63" s="112">
        <v>0.4</v>
      </c>
      <c r="J63" s="80">
        <f>I63*H63</f>
        <v>22.400000000000002</v>
      </c>
    </row>
    <row r="64" spans="2:10" ht="20.100000000000001" customHeight="1" x14ac:dyDescent="0.25">
      <c r="B64" s="83" t="s">
        <v>192</v>
      </c>
      <c r="C64" s="121" t="s">
        <v>11</v>
      </c>
      <c r="D64" s="222">
        <v>52014</v>
      </c>
      <c r="E64" s="223"/>
      <c r="F64" s="69" t="s">
        <v>141</v>
      </c>
      <c r="G64" s="70" t="s">
        <v>144</v>
      </c>
      <c r="H64" s="108" t="s">
        <v>17</v>
      </c>
      <c r="I64" s="108" t="s">
        <v>152</v>
      </c>
      <c r="J64" s="78">
        <f>J65</f>
        <v>38.527999999999999</v>
      </c>
    </row>
    <row r="65" spans="2:10" ht="20.100000000000001" customHeight="1" x14ac:dyDescent="0.25">
      <c r="B65" s="122"/>
      <c r="C65" s="123"/>
      <c r="D65" s="123"/>
      <c r="E65" s="124"/>
      <c r="F65" s="71" t="s">
        <v>155</v>
      </c>
      <c r="G65" s="66" t="s">
        <v>144</v>
      </c>
      <c r="H65" s="112">
        <f>7*2.15*16</f>
        <v>240.79999999999998</v>
      </c>
      <c r="I65" s="112">
        <v>0.16</v>
      </c>
      <c r="J65" s="80">
        <f>I65*H65</f>
        <v>38.527999999999999</v>
      </c>
    </row>
    <row r="66" spans="2:10" ht="20.100000000000001" customHeight="1" x14ac:dyDescent="0.25">
      <c r="B66" s="83" t="s">
        <v>193</v>
      </c>
      <c r="C66" s="121" t="s">
        <v>11</v>
      </c>
      <c r="D66" s="222">
        <v>51029</v>
      </c>
      <c r="E66" s="223"/>
      <c r="F66" s="69" t="s">
        <v>142</v>
      </c>
      <c r="G66" s="70" t="s">
        <v>13</v>
      </c>
      <c r="H66" s="108" t="s">
        <v>145</v>
      </c>
      <c r="I66" s="108" t="s">
        <v>26</v>
      </c>
      <c r="J66" s="78">
        <f>J67</f>
        <v>2.3039999999999998</v>
      </c>
    </row>
    <row r="67" spans="2:10" ht="20.100000000000001" customHeight="1" x14ac:dyDescent="0.25">
      <c r="B67" s="122"/>
      <c r="C67" s="123"/>
      <c r="D67" s="123"/>
      <c r="E67" s="124"/>
      <c r="F67" s="71" t="s">
        <v>155</v>
      </c>
      <c r="G67" s="66" t="s">
        <v>13</v>
      </c>
      <c r="H67" s="112">
        <f>0.6*0.6</f>
        <v>0.36</v>
      </c>
      <c r="I67" s="112">
        <v>0.4</v>
      </c>
      <c r="J67" s="80">
        <f>I67*H67*16</f>
        <v>2.3039999999999998</v>
      </c>
    </row>
    <row r="68" spans="2:10" ht="20.100000000000001" customHeight="1" x14ac:dyDescent="0.25">
      <c r="B68" s="83" t="s">
        <v>194</v>
      </c>
      <c r="C68" s="121" t="s">
        <v>11</v>
      </c>
      <c r="D68" s="222">
        <v>51055</v>
      </c>
      <c r="E68" s="223"/>
      <c r="F68" s="69" t="s">
        <v>143</v>
      </c>
      <c r="G68" s="70" t="s">
        <v>13</v>
      </c>
      <c r="H68" s="108" t="s">
        <v>145</v>
      </c>
      <c r="I68" s="108" t="s">
        <v>26</v>
      </c>
      <c r="J68" s="78">
        <f>J69</f>
        <v>2.3039999999999998</v>
      </c>
    </row>
    <row r="69" spans="2:10" ht="20.100000000000001" customHeight="1" x14ac:dyDescent="0.25">
      <c r="B69" s="122"/>
      <c r="C69" s="123"/>
      <c r="D69" s="123"/>
      <c r="E69" s="124"/>
      <c r="F69" s="71" t="s">
        <v>155</v>
      </c>
      <c r="G69" s="66" t="s">
        <v>13</v>
      </c>
      <c r="H69" s="112">
        <f>0.6*0.6</f>
        <v>0.36</v>
      </c>
      <c r="I69" s="112">
        <v>0.4</v>
      </c>
      <c r="J69" s="80">
        <f>I69*H69*16</f>
        <v>2.3039999999999998</v>
      </c>
    </row>
    <row r="70" spans="2:10" ht="20.100000000000001" customHeight="1" x14ac:dyDescent="0.25">
      <c r="B70" s="234" t="s">
        <v>95</v>
      </c>
      <c r="C70" s="235"/>
      <c r="D70" s="235"/>
      <c r="E70" s="235"/>
      <c r="F70" s="236"/>
      <c r="G70" s="236"/>
      <c r="H70" s="236"/>
      <c r="I70" s="236"/>
      <c r="J70" s="237"/>
    </row>
    <row r="71" spans="2:10" s="61" customFormat="1" ht="20.100000000000001" customHeight="1" x14ac:dyDescent="0.25">
      <c r="B71" s="82">
        <v>5</v>
      </c>
      <c r="C71" s="229">
        <v>60000</v>
      </c>
      <c r="D71" s="230"/>
      <c r="E71" s="231"/>
      <c r="F71" s="235" t="s">
        <v>96</v>
      </c>
      <c r="G71" s="235"/>
      <c r="H71" s="235"/>
      <c r="I71" s="235"/>
      <c r="J71" s="77" t="s">
        <v>9</v>
      </c>
    </row>
    <row r="72" spans="2:10" s="61" customFormat="1" ht="20.100000000000001" customHeight="1" x14ac:dyDescent="0.25">
      <c r="B72" s="83" t="s">
        <v>32</v>
      </c>
      <c r="C72" s="107" t="s">
        <v>11</v>
      </c>
      <c r="D72" s="222">
        <v>61130</v>
      </c>
      <c r="E72" s="223"/>
      <c r="F72" s="114" t="s">
        <v>97</v>
      </c>
      <c r="G72" s="70" t="s">
        <v>14</v>
      </c>
      <c r="H72" s="108" t="s">
        <v>17</v>
      </c>
      <c r="I72" s="108" t="s">
        <v>16</v>
      </c>
      <c r="J72" s="78">
        <f>J73</f>
        <v>98.12</v>
      </c>
    </row>
    <row r="73" spans="2:10" s="61" customFormat="1" ht="20.100000000000001" customHeight="1" x14ac:dyDescent="0.25">
      <c r="B73" s="240"/>
      <c r="C73" s="241"/>
      <c r="D73" s="241"/>
      <c r="E73" s="242"/>
      <c r="F73" s="71" t="s">
        <v>93</v>
      </c>
      <c r="G73" s="66" t="s">
        <v>14</v>
      </c>
      <c r="H73" s="112">
        <f>39.4+5.2</f>
        <v>44.6</v>
      </c>
      <c r="I73" s="112">
        <v>2.2000000000000002</v>
      </c>
      <c r="J73" s="80">
        <f>I73*H73</f>
        <v>98.12</v>
      </c>
    </row>
    <row r="74" spans="2:10" ht="20.100000000000001" customHeight="1" x14ac:dyDescent="0.25">
      <c r="B74" s="239"/>
      <c r="C74" s="230"/>
      <c r="D74" s="230"/>
      <c r="E74" s="231"/>
      <c r="F74" s="232" t="s">
        <v>134</v>
      </c>
      <c r="G74" s="227"/>
      <c r="H74" s="227"/>
      <c r="I74" s="227"/>
      <c r="J74" s="228"/>
    </row>
    <row r="75" spans="2:10" ht="20.100000000000001" customHeight="1" x14ac:dyDescent="0.25">
      <c r="B75" s="83" t="s">
        <v>195</v>
      </c>
      <c r="C75" s="121" t="s">
        <v>11</v>
      </c>
      <c r="D75" s="222">
        <v>60209</v>
      </c>
      <c r="E75" s="223"/>
      <c r="F75" s="69" t="s">
        <v>147</v>
      </c>
      <c r="G75" s="70" t="s">
        <v>14</v>
      </c>
      <c r="H75" s="108" t="s">
        <v>17</v>
      </c>
      <c r="I75" s="108" t="s">
        <v>16</v>
      </c>
      <c r="J75" s="78">
        <f>SUM(J76:J77)</f>
        <v>31.22</v>
      </c>
    </row>
    <row r="76" spans="2:10" ht="20.100000000000001" customHeight="1" x14ac:dyDescent="0.25">
      <c r="B76" s="272"/>
      <c r="C76" s="273"/>
      <c r="D76" s="273"/>
      <c r="E76" s="274"/>
      <c r="F76" s="71" t="s">
        <v>158</v>
      </c>
      <c r="G76" s="66" t="s">
        <v>14</v>
      </c>
      <c r="H76" s="112">
        <v>39.4</v>
      </c>
      <c r="I76" s="112">
        <v>0.35</v>
      </c>
      <c r="J76" s="80">
        <f>I76*H76*2</f>
        <v>27.58</v>
      </c>
    </row>
    <row r="77" spans="2:10" ht="20.100000000000001" customHeight="1" x14ac:dyDescent="0.25">
      <c r="B77" s="275"/>
      <c r="C77" s="276"/>
      <c r="D77" s="276"/>
      <c r="E77" s="277"/>
      <c r="F77" s="71" t="s">
        <v>159</v>
      </c>
      <c r="G77" s="66" t="s">
        <v>14</v>
      </c>
      <c r="H77" s="112">
        <v>5.2</v>
      </c>
      <c r="I77" s="112">
        <v>0.35</v>
      </c>
      <c r="J77" s="80">
        <f>I77*H77*2</f>
        <v>3.6399999999999997</v>
      </c>
    </row>
    <row r="78" spans="2:10" ht="20.100000000000001" customHeight="1" x14ac:dyDescent="0.25">
      <c r="B78" s="83" t="s">
        <v>196</v>
      </c>
      <c r="C78" s="121" t="s">
        <v>11</v>
      </c>
      <c r="D78" s="222">
        <v>60304</v>
      </c>
      <c r="E78" s="223"/>
      <c r="F78" s="69" t="s">
        <v>140</v>
      </c>
      <c r="G78" s="70" t="s">
        <v>144</v>
      </c>
      <c r="H78" s="108" t="s">
        <v>17</v>
      </c>
      <c r="I78" s="108" t="s">
        <v>152</v>
      </c>
      <c r="J78" s="78">
        <f>SUM(J79:J80)</f>
        <v>35.552000000000007</v>
      </c>
    </row>
    <row r="79" spans="2:10" ht="20.100000000000001" customHeight="1" x14ac:dyDescent="0.25">
      <c r="B79" s="272"/>
      <c r="C79" s="273"/>
      <c r="D79" s="273"/>
      <c r="E79" s="274"/>
      <c r="F79" s="71" t="s">
        <v>158</v>
      </c>
      <c r="G79" s="66" t="s">
        <v>144</v>
      </c>
      <c r="H79" s="112">
        <f>2*39.34</f>
        <v>78.680000000000007</v>
      </c>
      <c r="I79" s="112">
        <v>0.4</v>
      </c>
      <c r="J79" s="80">
        <f>I79*H79</f>
        <v>31.472000000000005</v>
      </c>
    </row>
    <row r="80" spans="2:10" ht="20.100000000000001" customHeight="1" x14ac:dyDescent="0.25">
      <c r="B80" s="275"/>
      <c r="C80" s="276"/>
      <c r="D80" s="276"/>
      <c r="E80" s="277"/>
      <c r="F80" s="71" t="s">
        <v>159</v>
      </c>
      <c r="G80" s="66" t="s">
        <v>144</v>
      </c>
      <c r="H80" s="112">
        <f>2*5.1</f>
        <v>10.199999999999999</v>
      </c>
      <c r="I80" s="112">
        <v>0.4</v>
      </c>
      <c r="J80" s="80">
        <f>I80*H80</f>
        <v>4.08</v>
      </c>
    </row>
    <row r="81" spans="2:10" ht="20.100000000000001" customHeight="1" x14ac:dyDescent="0.25">
      <c r="B81" s="83" t="s">
        <v>197</v>
      </c>
      <c r="C81" s="121" t="s">
        <v>11</v>
      </c>
      <c r="D81" s="222">
        <v>60314</v>
      </c>
      <c r="E81" s="223"/>
      <c r="F81" s="69" t="s">
        <v>141</v>
      </c>
      <c r="G81" s="70" t="s">
        <v>144</v>
      </c>
      <c r="H81" s="108" t="s">
        <v>17</v>
      </c>
      <c r="I81" s="108" t="s">
        <v>152</v>
      </c>
      <c r="J81" s="78">
        <f>SUM(J82:J83)</f>
        <v>380.92799999999994</v>
      </c>
    </row>
    <row r="82" spans="2:10" ht="20.100000000000001" customHeight="1" x14ac:dyDescent="0.25">
      <c r="B82" s="272"/>
      <c r="C82" s="273"/>
      <c r="D82" s="273"/>
      <c r="E82" s="274"/>
      <c r="F82" s="71" t="s">
        <v>158</v>
      </c>
      <c r="G82" s="66" t="s">
        <v>144</v>
      </c>
      <c r="H82" s="112">
        <f>218*9.6</f>
        <v>2092.7999999999997</v>
      </c>
      <c r="I82" s="112">
        <v>0.16</v>
      </c>
      <c r="J82" s="80">
        <f>I82*H82</f>
        <v>334.84799999999996</v>
      </c>
    </row>
    <row r="83" spans="2:10" ht="20.100000000000001" customHeight="1" x14ac:dyDescent="0.25">
      <c r="B83" s="275"/>
      <c r="C83" s="276"/>
      <c r="D83" s="276"/>
      <c r="E83" s="277"/>
      <c r="F83" s="71" t="s">
        <v>159</v>
      </c>
      <c r="G83" s="66" t="s">
        <v>144</v>
      </c>
      <c r="H83" s="112">
        <f>30*9.6</f>
        <v>288</v>
      </c>
      <c r="I83" s="112">
        <v>0.16</v>
      </c>
      <c r="J83" s="80">
        <f>I83*H83</f>
        <v>46.08</v>
      </c>
    </row>
    <row r="84" spans="2:10" ht="20.100000000000001" customHeight="1" x14ac:dyDescent="0.25">
      <c r="B84" s="83" t="s">
        <v>198</v>
      </c>
      <c r="C84" s="121" t="s">
        <v>11</v>
      </c>
      <c r="D84" s="222">
        <v>60518</v>
      </c>
      <c r="E84" s="223"/>
      <c r="F84" s="69" t="s">
        <v>142</v>
      </c>
      <c r="G84" s="70" t="s">
        <v>13</v>
      </c>
      <c r="H84" s="108" t="s">
        <v>145</v>
      </c>
      <c r="I84" s="108" t="s">
        <v>26</v>
      </c>
      <c r="J84" s="78">
        <f>SUM(J85:J86)</f>
        <v>3.9016249999999997</v>
      </c>
    </row>
    <row r="85" spans="2:10" ht="20.100000000000001" customHeight="1" x14ac:dyDescent="0.25">
      <c r="B85" s="272"/>
      <c r="C85" s="273"/>
      <c r="D85" s="273"/>
      <c r="E85" s="274"/>
      <c r="F85" s="71" t="s">
        <v>158</v>
      </c>
      <c r="G85" s="66" t="s">
        <v>13</v>
      </c>
      <c r="H85" s="112">
        <f>39.4*0.25</f>
        <v>9.85</v>
      </c>
      <c r="I85" s="112">
        <v>0.35</v>
      </c>
      <c r="J85" s="80">
        <f>I85*H85</f>
        <v>3.4474999999999998</v>
      </c>
    </row>
    <row r="86" spans="2:10" ht="20.100000000000001" customHeight="1" x14ac:dyDescent="0.25">
      <c r="B86" s="275"/>
      <c r="C86" s="276"/>
      <c r="D86" s="276"/>
      <c r="E86" s="277"/>
      <c r="F86" s="71" t="s">
        <v>159</v>
      </c>
      <c r="G86" s="66" t="s">
        <v>13</v>
      </c>
      <c r="H86" s="112">
        <f>5.19*0.25</f>
        <v>1.2975000000000001</v>
      </c>
      <c r="I86" s="112">
        <v>0.35</v>
      </c>
      <c r="J86" s="80">
        <f>I86*H86</f>
        <v>0.454125</v>
      </c>
    </row>
    <row r="87" spans="2:10" ht="20.100000000000001" customHeight="1" x14ac:dyDescent="0.25">
      <c r="B87" s="83" t="s">
        <v>199</v>
      </c>
      <c r="C87" s="121" t="s">
        <v>11</v>
      </c>
      <c r="D87" s="222">
        <v>60801</v>
      </c>
      <c r="E87" s="223"/>
      <c r="F87" s="69" t="s">
        <v>143</v>
      </c>
      <c r="G87" s="70" t="s">
        <v>13</v>
      </c>
      <c r="H87" s="108" t="s">
        <v>145</v>
      </c>
      <c r="I87" s="108" t="s">
        <v>26</v>
      </c>
      <c r="J87" s="78">
        <f>SUM(J88:J89)</f>
        <v>3.9016249999999997</v>
      </c>
    </row>
    <row r="88" spans="2:10" ht="20.100000000000001" customHeight="1" x14ac:dyDescent="0.25">
      <c r="B88" s="272"/>
      <c r="C88" s="273"/>
      <c r="D88" s="273"/>
      <c r="E88" s="274"/>
      <c r="F88" s="71" t="s">
        <v>158</v>
      </c>
      <c r="G88" s="66" t="s">
        <v>13</v>
      </c>
      <c r="H88" s="112">
        <f>39.4*0.25</f>
        <v>9.85</v>
      </c>
      <c r="I88" s="112">
        <v>0.35</v>
      </c>
      <c r="J88" s="80">
        <f>I88*H88</f>
        <v>3.4474999999999998</v>
      </c>
    </row>
    <row r="89" spans="2:10" ht="20.100000000000001" customHeight="1" x14ac:dyDescent="0.25">
      <c r="B89" s="275"/>
      <c r="C89" s="276"/>
      <c r="D89" s="276"/>
      <c r="E89" s="277"/>
      <c r="F89" s="71" t="s">
        <v>159</v>
      </c>
      <c r="G89" s="66" t="s">
        <v>13</v>
      </c>
      <c r="H89" s="112">
        <f>5.19*0.25</f>
        <v>1.2975000000000001</v>
      </c>
      <c r="I89" s="112">
        <v>0.35</v>
      </c>
      <c r="J89" s="80">
        <f>I89*H89</f>
        <v>0.454125</v>
      </c>
    </row>
    <row r="90" spans="2:10" ht="20.100000000000001" customHeight="1" x14ac:dyDescent="0.25">
      <c r="B90" s="239"/>
      <c r="C90" s="230"/>
      <c r="D90" s="230"/>
      <c r="E90" s="231"/>
      <c r="F90" s="232" t="s">
        <v>148</v>
      </c>
      <c r="G90" s="227"/>
      <c r="H90" s="227"/>
      <c r="I90" s="227"/>
      <c r="J90" s="228"/>
    </row>
    <row r="91" spans="2:10" ht="20.100000000000001" customHeight="1" x14ac:dyDescent="0.25">
      <c r="B91" s="83" t="s">
        <v>200</v>
      </c>
      <c r="C91" s="121" t="s">
        <v>11</v>
      </c>
      <c r="D91" s="222">
        <v>60209</v>
      </c>
      <c r="E91" s="223"/>
      <c r="F91" s="69" t="s">
        <v>147</v>
      </c>
      <c r="G91" s="70" t="s">
        <v>14</v>
      </c>
      <c r="H91" s="108" t="s">
        <v>17</v>
      </c>
      <c r="I91" s="108" t="s">
        <v>16</v>
      </c>
      <c r="J91" s="78">
        <f>J92</f>
        <v>99.072000000000003</v>
      </c>
    </row>
    <row r="92" spans="2:10" ht="20.100000000000001" customHeight="1" x14ac:dyDescent="0.25">
      <c r="B92" s="122"/>
      <c r="C92" s="123"/>
      <c r="D92" s="123"/>
      <c r="E92" s="124"/>
      <c r="F92" s="71" t="s">
        <v>160</v>
      </c>
      <c r="G92" s="66" t="s">
        <v>14</v>
      </c>
      <c r="H92" s="112">
        <f>0.4*4*16</f>
        <v>25.6</v>
      </c>
      <c r="I92" s="112">
        <v>3.87</v>
      </c>
      <c r="J92" s="80">
        <f>I92*H92</f>
        <v>99.072000000000003</v>
      </c>
    </row>
    <row r="93" spans="2:10" ht="20.100000000000001" customHeight="1" x14ac:dyDescent="0.25">
      <c r="B93" s="83" t="s">
        <v>201</v>
      </c>
      <c r="C93" s="121" t="s">
        <v>11</v>
      </c>
      <c r="D93" s="222">
        <v>60305</v>
      </c>
      <c r="E93" s="223"/>
      <c r="F93" s="69" t="s">
        <v>149</v>
      </c>
      <c r="G93" s="70" t="s">
        <v>144</v>
      </c>
      <c r="H93" s="108" t="s">
        <v>17</v>
      </c>
      <c r="I93" s="108" t="s">
        <v>152</v>
      </c>
      <c r="J93" s="78">
        <f>J94</f>
        <v>312.07679999999999</v>
      </c>
    </row>
    <row r="94" spans="2:10" ht="20.100000000000001" customHeight="1" x14ac:dyDescent="0.25">
      <c r="B94" s="122"/>
      <c r="C94" s="123"/>
      <c r="D94" s="123"/>
      <c r="E94" s="124"/>
      <c r="F94" s="71" t="s">
        <v>160</v>
      </c>
      <c r="G94" s="66" t="s">
        <v>144</v>
      </c>
      <c r="H94" s="112">
        <f>8*3.87*16</f>
        <v>495.36</v>
      </c>
      <c r="I94" s="112">
        <v>0.63</v>
      </c>
      <c r="J94" s="80">
        <f>I94*H94</f>
        <v>312.07679999999999</v>
      </c>
    </row>
    <row r="95" spans="2:10" ht="20.100000000000001" customHeight="1" x14ac:dyDescent="0.25">
      <c r="B95" s="83" t="s">
        <v>202</v>
      </c>
      <c r="C95" s="121" t="s">
        <v>11</v>
      </c>
      <c r="D95" s="222">
        <v>60314</v>
      </c>
      <c r="E95" s="223"/>
      <c r="F95" s="69" t="s">
        <v>141</v>
      </c>
      <c r="G95" s="70" t="s">
        <v>144</v>
      </c>
      <c r="H95" s="108" t="s">
        <v>17</v>
      </c>
      <c r="I95" s="108" t="s">
        <v>152</v>
      </c>
      <c r="J95" s="78">
        <f>J96</f>
        <v>88.473600000000005</v>
      </c>
    </row>
    <row r="96" spans="2:10" ht="20.100000000000001" customHeight="1" x14ac:dyDescent="0.25">
      <c r="B96" s="122"/>
      <c r="C96" s="123"/>
      <c r="D96" s="123"/>
      <c r="E96" s="124"/>
      <c r="F96" s="71" t="s">
        <v>160</v>
      </c>
      <c r="G96" s="66" t="s">
        <v>144</v>
      </c>
      <c r="H96" s="112">
        <f>32*1.08*16</f>
        <v>552.96</v>
      </c>
      <c r="I96" s="112">
        <v>0.16</v>
      </c>
      <c r="J96" s="80">
        <f>I96*H96</f>
        <v>88.473600000000005</v>
      </c>
    </row>
    <row r="97" spans="2:10" ht="20.100000000000001" customHeight="1" x14ac:dyDescent="0.25">
      <c r="B97" s="83" t="s">
        <v>203</v>
      </c>
      <c r="C97" s="121" t="s">
        <v>11</v>
      </c>
      <c r="D97" s="222">
        <v>60518</v>
      </c>
      <c r="E97" s="223"/>
      <c r="F97" s="69" t="s">
        <v>142</v>
      </c>
      <c r="G97" s="70" t="s">
        <v>13</v>
      </c>
      <c r="H97" s="108" t="s">
        <v>145</v>
      </c>
      <c r="I97" s="108" t="s">
        <v>26</v>
      </c>
      <c r="J97" s="78">
        <f>J98</f>
        <v>5.0816000000000017</v>
      </c>
    </row>
    <row r="98" spans="2:10" ht="20.100000000000001" customHeight="1" x14ac:dyDescent="0.25">
      <c r="B98" s="122"/>
      <c r="C98" s="123"/>
      <c r="D98" s="123"/>
      <c r="E98" s="124"/>
      <c r="F98" s="71" t="s">
        <v>160</v>
      </c>
      <c r="G98" s="66" t="s">
        <v>161</v>
      </c>
      <c r="H98" s="112">
        <f>0.4*0.2*16</f>
        <v>1.2800000000000002</v>
      </c>
      <c r="I98" s="112">
        <v>3.97</v>
      </c>
      <c r="J98" s="80">
        <f>I98*H98</f>
        <v>5.0816000000000017</v>
      </c>
    </row>
    <row r="99" spans="2:10" ht="20.100000000000001" customHeight="1" x14ac:dyDescent="0.25">
      <c r="B99" s="83" t="s">
        <v>204</v>
      </c>
      <c r="C99" s="121" t="s">
        <v>11</v>
      </c>
      <c r="D99" s="222">
        <v>60801</v>
      </c>
      <c r="E99" s="223"/>
      <c r="F99" s="69" t="s">
        <v>143</v>
      </c>
      <c r="G99" s="70" t="s">
        <v>13</v>
      </c>
      <c r="H99" s="108" t="s">
        <v>145</v>
      </c>
      <c r="I99" s="108" t="s">
        <v>26</v>
      </c>
      <c r="J99" s="78">
        <f>J100</f>
        <v>5.0816000000000017</v>
      </c>
    </row>
    <row r="100" spans="2:10" ht="20.100000000000001" customHeight="1" x14ac:dyDescent="0.25">
      <c r="B100" s="122"/>
      <c r="C100" s="123"/>
      <c r="D100" s="123"/>
      <c r="E100" s="124"/>
      <c r="F100" s="71" t="s">
        <v>160</v>
      </c>
      <c r="G100" s="66" t="s">
        <v>13</v>
      </c>
      <c r="H100" s="112">
        <f>0.4*0.2*16</f>
        <v>1.2800000000000002</v>
      </c>
      <c r="I100" s="112">
        <v>3.97</v>
      </c>
      <c r="J100" s="80">
        <f>I100*H100</f>
        <v>5.0816000000000017</v>
      </c>
    </row>
    <row r="101" spans="2:10" ht="20.100000000000001" customHeight="1" x14ac:dyDescent="0.25">
      <c r="B101" s="239"/>
      <c r="C101" s="230"/>
      <c r="D101" s="230"/>
      <c r="E101" s="231"/>
      <c r="F101" s="232" t="s">
        <v>150</v>
      </c>
      <c r="G101" s="227"/>
      <c r="H101" s="227"/>
      <c r="I101" s="227"/>
      <c r="J101" s="228"/>
    </row>
    <row r="102" spans="2:10" ht="20.100000000000001" customHeight="1" x14ac:dyDescent="0.25">
      <c r="B102" s="83" t="s">
        <v>205</v>
      </c>
      <c r="C102" s="121" t="s">
        <v>11</v>
      </c>
      <c r="D102" s="222">
        <v>60304</v>
      </c>
      <c r="E102" s="223"/>
      <c r="F102" s="69" t="s">
        <v>140</v>
      </c>
      <c r="G102" s="70" t="s">
        <v>144</v>
      </c>
      <c r="H102" s="108" t="s">
        <v>17</v>
      </c>
      <c r="I102" s="108" t="s">
        <v>152</v>
      </c>
      <c r="J102" s="78">
        <f>J103</f>
        <v>156</v>
      </c>
    </row>
    <row r="103" spans="2:10" ht="20.100000000000001" customHeight="1" x14ac:dyDescent="0.25">
      <c r="B103" s="122"/>
      <c r="C103" s="123"/>
      <c r="D103" s="123"/>
      <c r="E103" s="124"/>
      <c r="F103" s="71" t="s">
        <v>162</v>
      </c>
      <c r="G103" s="66" t="s">
        <v>144</v>
      </c>
      <c r="H103" s="112">
        <f>100*3.9</f>
        <v>390</v>
      </c>
      <c r="I103" s="112">
        <v>0.4</v>
      </c>
      <c r="J103" s="80">
        <f>I103*H103</f>
        <v>156</v>
      </c>
    </row>
    <row r="104" spans="2:10" ht="20.100000000000001" customHeight="1" x14ac:dyDescent="0.25">
      <c r="B104" s="239"/>
      <c r="C104" s="230"/>
      <c r="D104" s="230"/>
      <c r="E104" s="231"/>
      <c r="F104" s="232" t="s">
        <v>151</v>
      </c>
      <c r="G104" s="227"/>
      <c r="H104" s="227"/>
      <c r="I104" s="227"/>
      <c r="J104" s="228"/>
    </row>
    <row r="105" spans="2:10" ht="20.100000000000001" customHeight="1" x14ac:dyDescent="0.25">
      <c r="B105" s="83" t="s">
        <v>206</v>
      </c>
      <c r="C105" s="121" t="s">
        <v>11</v>
      </c>
      <c r="D105" s="222">
        <v>60304</v>
      </c>
      <c r="E105" s="223"/>
      <c r="F105" s="69" t="s">
        <v>140</v>
      </c>
      <c r="G105" s="70" t="s">
        <v>144</v>
      </c>
      <c r="H105" s="108" t="s">
        <v>17</v>
      </c>
      <c r="I105" s="108" t="s">
        <v>152</v>
      </c>
      <c r="J105" s="78">
        <f>SUM(J106:J108)</f>
        <v>199.2</v>
      </c>
    </row>
    <row r="106" spans="2:10" ht="20.100000000000001" customHeight="1" x14ac:dyDescent="0.25">
      <c r="B106" s="272"/>
      <c r="C106" s="273"/>
      <c r="D106" s="273"/>
      <c r="E106" s="274"/>
      <c r="F106" s="71" t="s">
        <v>164</v>
      </c>
      <c r="G106" s="66" t="s">
        <v>144</v>
      </c>
      <c r="H106" s="112">
        <f>144*2.5</f>
        <v>360</v>
      </c>
      <c r="I106" s="112">
        <v>0.4</v>
      </c>
      <c r="J106" s="80">
        <f>I106*H106</f>
        <v>144</v>
      </c>
    </row>
    <row r="107" spans="2:10" ht="20.100000000000001" customHeight="1" x14ac:dyDescent="0.25">
      <c r="B107" s="281"/>
      <c r="C107" s="282"/>
      <c r="D107" s="282"/>
      <c r="E107" s="283"/>
      <c r="F107" s="71" t="s">
        <v>165</v>
      </c>
      <c r="G107" s="66" t="s">
        <v>144</v>
      </c>
      <c r="H107" s="112">
        <f>24*3.2</f>
        <v>76.800000000000011</v>
      </c>
      <c r="I107" s="112">
        <v>0.4</v>
      </c>
      <c r="J107" s="80">
        <f t="shared" ref="J107:J108" si="1">I107*H107</f>
        <v>30.720000000000006</v>
      </c>
    </row>
    <row r="108" spans="2:10" ht="20.100000000000001" customHeight="1" x14ac:dyDescent="0.25">
      <c r="B108" s="275"/>
      <c r="C108" s="276"/>
      <c r="D108" s="276"/>
      <c r="E108" s="277"/>
      <c r="F108" s="71" t="s">
        <v>163</v>
      </c>
      <c r="G108" s="66" t="s">
        <v>144</v>
      </c>
      <c r="H108" s="112">
        <f>12*5.1</f>
        <v>61.199999999999996</v>
      </c>
      <c r="I108" s="112">
        <v>0.4</v>
      </c>
      <c r="J108" s="80">
        <f t="shared" si="1"/>
        <v>24.48</v>
      </c>
    </row>
    <row r="109" spans="2:10" s="61" customFormat="1" ht="20.100000000000001" customHeight="1" x14ac:dyDescent="0.25">
      <c r="B109" s="234" t="s">
        <v>120</v>
      </c>
      <c r="C109" s="235"/>
      <c r="D109" s="235"/>
      <c r="E109" s="235"/>
      <c r="F109" s="236"/>
      <c r="G109" s="236"/>
      <c r="H109" s="236"/>
      <c r="I109" s="236"/>
      <c r="J109" s="237"/>
    </row>
    <row r="110" spans="2:10" s="61" customFormat="1" ht="20.100000000000001" customHeight="1" x14ac:dyDescent="0.25">
      <c r="B110" s="82">
        <v>6</v>
      </c>
      <c r="C110" s="229">
        <v>60000</v>
      </c>
      <c r="D110" s="230"/>
      <c r="E110" s="231"/>
      <c r="F110" s="235" t="s">
        <v>121</v>
      </c>
      <c r="G110" s="235"/>
      <c r="H110" s="235"/>
      <c r="I110" s="235"/>
      <c r="J110" s="77" t="s">
        <v>9</v>
      </c>
    </row>
    <row r="111" spans="2:10" s="61" customFormat="1" ht="20.100000000000001" customHeight="1" x14ac:dyDescent="0.25">
      <c r="B111" s="83" t="s">
        <v>33</v>
      </c>
      <c r="C111" s="107" t="s">
        <v>11</v>
      </c>
      <c r="D111" s="222">
        <v>82365</v>
      </c>
      <c r="E111" s="223"/>
      <c r="F111" s="69" t="s">
        <v>166</v>
      </c>
      <c r="G111" s="70" t="s">
        <v>30</v>
      </c>
      <c r="H111" s="224" t="s">
        <v>17</v>
      </c>
      <c r="I111" s="225"/>
      <c r="J111" s="78">
        <f>J112</f>
        <v>42</v>
      </c>
    </row>
    <row r="112" spans="2:10" s="61" customFormat="1" ht="20.100000000000001" customHeight="1" x14ac:dyDescent="0.25">
      <c r="B112" s="240"/>
      <c r="C112" s="241"/>
      <c r="D112" s="241"/>
      <c r="E112" s="242"/>
      <c r="F112" s="71" t="s">
        <v>122</v>
      </c>
      <c r="G112" s="66" t="s">
        <v>30</v>
      </c>
      <c r="H112" s="270">
        <v>42</v>
      </c>
      <c r="I112" s="271"/>
      <c r="J112" s="80">
        <f>H112</f>
        <v>42</v>
      </c>
    </row>
    <row r="113" spans="2:10" s="61" customFormat="1" ht="20.100000000000001" customHeight="1" x14ac:dyDescent="0.25">
      <c r="B113" s="83" t="s">
        <v>207</v>
      </c>
      <c r="C113" s="121" t="s">
        <v>11</v>
      </c>
      <c r="D113" s="222">
        <v>82304</v>
      </c>
      <c r="E113" s="223"/>
      <c r="F113" s="69" t="s">
        <v>167</v>
      </c>
      <c r="G113" s="70" t="s">
        <v>30</v>
      </c>
      <c r="H113" s="224" t="s">
        <v>17</v>
      </c>
      <c r="I113" s="225"/>
      <c r="J113" s="78">
        <f>J114</f>
        <v>7</v>
      </c>
    </row>
    <row r="114" spans="2:10" s="61" customFormat="1" ht="20.100000000000001" customHeight="1" x14ac:dyDescent="0.25">
      <c r="B114" s="278"/>
      <c r="C114" s="278"/>
      <c r="D114" s="278"/>
      <c r="E114" s="278"/>
      <c r="F114" s="118" t="s">
        <v>168</v>
      </c>
      <c r="G114" s="66" t="s">
        <v>30</v>
      </c>
      <c r="H114" s="270">
        <f>0.25*14*2</f>
        <v>7</v>
      </c>
      <c r="I114" s="271"/>
      <c r="J114" s="80">
        <f>H114</f>
        <v>7</v>
      </c>
    </row>
    <row r="115" spans="2:10" s="61" customFormat="1" ht="20.100000000000001" customHeight="1" x14ac:dyDescent="0.25">
      <c r="B115" s="83" t="s">
        <v>208</v>
      </c>
      <c r="C115" s="121" t="s">
        <v>11</v>
      </c>
      <c r="D115" s="222" t="s">
        <v>169</v>
      </c>
      <c r="E115" s="223"/>
      <c r="F115" s="69" t="e">
        <f>#REF!</f>
        <v>#REF!</v>
      </c>
      <c r="G115" s="70" t="s">
        <v>171</v>
      </c>
      <c r="H115" s="224" t="s">
        <v>172</v>
      </c>
      <c r="I115" s="225"/>
      <c r="J115" s="78">
        <f>J116</f>
        <v>77</v>
      </c>
    </row>
    <row r="116" spans="2:10" s="61" customFormat="1" ht="20.100000000000001" customHeight="1" x14ac:dyDescent="0.25">
      <c r="B116" s="278"/>
      <c r="C116" s="278"/>
      <c r="D116" s="278"/>
      <c r="E116" s="278"/>
      <c r="F116" s="118" t="s">
        <v>170</v>
      </c>
      <c r="G116" s="66" t="s">
        <v>171</v>
      </c>
      <c r="H116" s="279">
        <f>38+39</f>
        <v>77</v>
      </c>
      <c r="I116" s="279"/>
      <c r="J116" s="112">
        <f>H116</f>
        <v>77</v>
      </c>
    </row>
    <row r="117" spans="2:10" s="61" customFormat="1" ht="20.100000000000001" customHeight="1" x14ac:dyDescent="0.25">
      <c r="B117" s="83" t="s">
        <v>209</v>
      </c>
      <c r="C117" s="121" t="s">
        <v>11</v>
      </c>
      <c r="D117" s="222">
        <v>81938</v>
      </c>
      <c r="E117" s="223"/>
      <c r="F117" s="69" t="s">
        <v>173</v>
      </c>
      <c r="G117" s="70" t="s">
        <v>171</v>
      </c>
      <c r="H117" s="224" t="s">
        <v>172</v>
      </c>
      <c r="I117" s="280"/>
      <c r="J117" s="108">
        <f>J118</f>
        <v>2</v>
      </c>
    </row>
    <row r="118" spans="2:10" s="61" customFormat="1" ht="20.100000000000001" customHeight="1" x14ac:dyDescent="0.25">
      <c r="B118" s="278"/>
      <c r="C118" s="278"/>
      <c r="D118" s="278"/>
      <c r="E118" s="278"/>
      <c r="F118" s="118" t="s">
        <v>170</v>
      </c>
      <c r="G118" s="66" t="s">
        <v>171</v>
      </c>
      <c r="H118" s="279">
        <v>2</v>
      </c>
      <c r="I118" s="279"/>
      <c r="J118" s="112">
        <f>H118</f>
        <v>2</v>
      </c>
    </row>
    <row r="119" spans="2:10" s="61" customFormat="1" ht="20.100000000000001" customHeight="1" x14ac:dyDescent="0.25">
      <c r="B119" s="83" t="s">
        <v>210</v>
      </c>
      <c r="C119" s="121" t="s">
        <v>11</v>
      </c>
      <c r="D119" s="222">
        <v>81829</v>
      </c>
      <c r="E119" s="223"/>
      <c r="F119" s="69" t="s">
        <v>174</v>
      </c>
      <c r="G119" s="70" t="s">
        <v>14</v>
      </c>
      <c r="H119" s="108" t="s">
        <v>17</v>
      </c>
      <c r="I119" s="108" t="s">
        <v>16</v>
      </c>
      <c r="J119" s="78">
        <f>J120</f>
        <v>0.18</v>
      </c>
    </row>
    <row r="120" spans="2:10" s="61" customFormat="1" ht="20.100000000000001" customHeight="1" x14ac:dyDescent="0.25">
      <c r="B120" s="278"/>
      <c r="C120" s="278"/>
      <c r="D120" s="278"/>
      <c r="E120" s="278"/>
      <c r="F120" s="118" t="s">
        <v>170</v>
      </c>
      <c r="G120" s="66" t="s">
        <v>14</v>
      </c>
      <c r="H120" s="62">
        <v>0.3</v>
      </c>
      <c r="I120" s="62">
        <v>0.3</v>
      </c>
      <c r="J120" s="126">
        <f>I120*H120*2</f>
        <v>0.18</v>
      </c>
    </row>
    <row r="121" spans="2:10" ht="20.100000000000001" customHeight="1" x14ac:dyDescent="0.25">
      <c r="B121" s="226" t="s">
        <v>98</v>
      </c>
      <c r="C121" s="227"/>
      <c r="D121" s="227"/>
      <c r="E121" s="227"/>
      <c r="F121" s="227"/>
      <c r="G121" s="227"/>
      <c r="H121" s="227"/>
      <c r="I121" s="227"/>
      <c r="J121" s="228"/>
    </row>
    <row r="122" spans="2:10" ht="20.100000000000001" customHeight="1" x14ac:dyDescent="0.25">
      <c r="B122" s="82">
        <v>7</v>
      </c>
      <c r="C122" s="229">
        <v>120000</v>
      </c>
      <c r="D122" s="230"/>
      <c r="E122" s="231"/>
      <c r="F122" s="232" t="s">
        <v>99</v>
      </c>
      <c r="G122" s="227"/>
      <c r="H122" s="227"/>
      <c r="I122" s="233"/>
      <c r="J122" s="77" t="s">
        <v>9</v>
      </c>
    </row>
    <row r="123" spans="2:10" ht="20.100000000000001" customHeight="1" x14ac:dyDescent="0.25">
      <c r="B123" s="83" t="s">
        <v>36</v>
      </c>
      <c r="C123" s="107" t="s">
        <v>11</v>
      </c>
      <c r="D123" s="238">
        <v>121101</v>
      </c>
      <c r="E123" s="238"/>
      <c r="F123" s="114" t="s">
        <v>100</v>
      </c>
      <c r="G123" s="70" t="s">
        <v>14</v>
      </c>
      <c r="H123" s="108" t="s">
        <v>17</v>
      </c>
      <c r="I123" s="108" t="s">
        <v>16</v>
      </c>
      <c r="J123" s="78">
        <f>J124</f>
        <v>173.36</v>
      </c>
    </row>
    <row r="124" spans="2:10" ht="20.100000000000001" customHeight="1" x14ac:dyDescent="0.25">
      <c r="B124" s="109"/>
      <c r="C124" s="110"/>
      <c r="D124" s="110"/>
      <c r="E124" s="110"/>
      <c r="F124" s="71" t="s">
        <v>93</v>
      </c>
      <c r="G124" s="66" t="s">
        <v>14</v>
      </c>
      <c r="H124" s="62">
        <v>39.4</v>
      </c>
      <c r="I124" s="62">
        <v>2.2000000000000002</v>
      </c>
      <c r="J124" s="79">
        <f>I124*H124*2</f>
        <v>173.36</v>
      </c>
    </row>
    <row r="125" spans="2:10" ht="20.100000000000001" customHeight="1" x14ac:dyDescent="0.25">
      <c r="B125" s="226" t="s">
        <v>176</v>
      </c>
      <c r="C125" s="227"/>
      <c r="D125" s="227"/>
      <c r="E125" s="227"/>
      <c r="F125" s="227"/>
      <c r="G125" s="227"/>
      <c r="H125" s="227"/>
      <c r="I125" s="227"/>
      <c r="J125" s="228"/>
    </row>
    <row r="126" spans="2:10" ht="20.100000000000001" customHeight="1" x14ac:dyDescent="0.25">
      <c r="B126" s="82">
        <v>8</v>
      </c>
      <c r="C126" s="229">
        <v>160000</v>
      </c>
      <c r="D126" s="230"/>
      <c r="E126" s="231"/>
      <c r="F126" s="232" t="s">
        <v>182</v>
      </c>
      <c r="G126" s="227"/>
      <c r="H126" s="227"/>
      <c r="I126" s="233"/>
      <c r="J126" s="77" t="s">
        <v>9</v>
      </c>
    </row>
    <row r="127" spans="2:10" ht="20.100000000000001" customHeight="1" x14ac:dyDescent="0.25">
      <c r="B127" s="83" t="s">
        <v>103</v>
      </c>
      <c r="C127" s="215" t="s">
        <v>11</v>
      </c>
      <c r="D127" s="238">
        <v>160602</v>
      </c>
      <c r="E127" s="238"/>
      <c r="F127" s="114" t="s">
        <v>230</v>
      </c>
      <c r="G127" s="70" t="s">
        <v>30</v>
      </c>
      <c r="H127" s="224" t="s">
        <v>17</v>
      </c>
      <c r="I127" s="225"/>
      <c r="J127" s="78">
        <f>SUM(J128:J129)</f>
        <v>44.6</v>
      </c>
    </row>
    <row r="128" spans="2:10" ht="20.100000000000001" customHeight="1" x14ac:dyDescent="0.25">
      <c r="B128" s="127"/>
      <c r="C128" s="128"/>
      <c r="D128" s="128"/>
      <c r="E128" s="129"/>
      <c r="F128" s="71" t="s">
        <v>93</v>
      </c>
      <c r="G128" s="119" t="s">
        <v>30</v>
      </c>
      <c r="H128" s="288">
        <v>39.4</v>
      </c>
      <c r="I128" s="288"/>
      <c r="J128" s="120">
        <f>H128</f>
        <v>39.4</v>
      </c>
    </row>
    <row r="129" spans="2:10" ht="20.100000000000001" customHeight="1" x14ac:dyDescent="0.25">
      <c r="B129" s="130"/>
      <c r="C129" s="131"/>
      <c r="D129" s="131"/>
      <c r="E129" s="132"/>
      <c r="F129" s="71" t="s">
        <v>177</v>
      </c>
      <c r="G129" s="119" t="s">
        <v>30</v>
      </c>
      <c r="H129" s="288">
        <v>5.2</v>
      </c>
      <c r="I129" s="288"/>
      <c r="J129" s="120">
        <f>H129</f>
        <v>5.2</v>
      </c>
    </row>
    <row r="130" spans="2:10" s="61" customFormat="1" ht="20.100000000000001" customHeight="1" x14ac:dyDescent="0.25">
      <c r="B130" s="226" t="s">
        <v>101</v>
      </c>
      <c r="C130" s="227"/>
      <c r="D130" s="227"/>
      <c r="E130" s="227"/>
      <c r="F130" s="227"/>
      <c r="G130" s="227"/>
      <c r="H130" s="227"/>
      <c r="I130" s="227"/>
      <c r="J130" s="228"/>
    </row>
    <row r="131" spans="2:10" ht="20.100000000000001" customHeight="1" x14ac:dyDescent="0.25">
      <c r="B131" s="82">
        <v>9</v>
      </c>
      <c r="C131" s="229">
        <v>200000</v>
      </c>
      <c r="D131" s="230"/>
      <c r="E131" s="231"/>
      <c r="F131" s="232" t="s">
        <v>102</v>
      </c>
      <c r="G131" s="227"/>
      <c r="H131" s="227"/>
      <c r="I131" s="233"/>
      <c r="J131" s="77" t="s">
        <v>9</v>
      </c>
    </row>
    <row r="132" spans="2:10" ht="20.100000000000001" customHeight="1" x14ac:dyDescent="0.25">
      <c r="B132" s="83" t="s">
        <v>107</v>
      </c>
      <c r="C132" s="107" t="s">
        <v>11</v>
      </c>
      <c r="D132" s="238">
        <v>200101</v>
      </c>
      <c r="E132" s="238"/>
      <c r="F132" s="114" t="s">
        <v>104</v>
      </c>
      <c r="G132" s="70" t="s">
        <v>14</v>
      </c>
      <c r="H132" s="108" t="s">
        <v>17</v>
      </c>
      <c r="I132" s="108" t="s">
        <v>15</v>
      </c>
      <c r="J132" s="78">
        <f>SUM(J133:J134)</f>
        <v>347.88</v>
      </c>
    </row>
    <row r="133" spans="2:10" ht="20.100000000000001" customHeight="1" x14ac:dyDescent="0.25">
      <c r="B133" s="272"/>
      <c r="C133" s="273"/>
      <c r="D133" s="273"/>
      <c r="E133" s="274"/>
      <c r="F133" s="71" t="s">
        <v>93</v>
      </c>
      <c r="G133" s="66" t="s">
        <v>14</v>
      </c>
      <c r="H133" s="62">
        <v>39.4</v>
      </c>
      <c r="I133" s="62">
        <v>3.9</v>
      </c>
      <c r="J133" s="79">
        <f>I133*H133*2</f>
        <v>307.32</v>
      </c>
    </row>
    <row r="134" spans="2:10" ht="20.100000000000001" customHeight="1" x14ac:dyDescent="0.25">
      <c r="B134" s="275"/>
      <c r="C134" s="276"/>
      <c r="D134" s="276"/>
      <c r="E134" s="277"/>
      <c r="F134" s="71" t="s">
        <v>175</v>
      </c>
      <c r="G134" s="66" t="s">
        <v>14</v>
      </c>
      <c r="H134" s="62">
        <v>5.2</v>
      </c>
      <c r="I134" s="62">
        <v>3.9</v>
      </c>
      <c r="J134" s="79">
        <f>I134*H134*2</f>
        <v>40.56</v>
      </c>
    </row>
    <row r="135" spans="2:10" ht="20.100000000000001" customHeight="1" x14ac:dyDescent="0.25">
      <c r="B135" s="83" t="s">
        <v>108</v>
      </c>
      <c r="C135" s="107" t="s">
        <v>11</v>
      </c>
      <c r="D135" s="238">
        <v>200201</v>
      </c>
      <c r="E135" s="238"/>
      <c r="F135" s="114" t="s">
        <v>105</v>
      </c>
      <c r="G135" s="70" t="s">
        <v>14</v>
      </c>
      <c r="H135" s="108" t="s">
        <v>17</v>
      </c>
      <c r="I135" s="108" t="s">
        <v>15</v>
      </c>
      <c r="J135" s="78">
        <f>SUM(J136:J137)</f>
        <v>173.94</v>
      </c>
    </row>
    <row r="136" spans="2:10" ht="20.100000000000001" customHeight="1" x14ac:dyDescent="0.25">
      <c r="B136" s="272"/>
      <c r="C136" s="273"/>
      <c r="D136" s="273"/>
      <c r="E136" s="274"/>
      <c r="F136" s="71" t="s">
        <v>93</v>
      </c>
      <c r="G136" s="66" t="s">
        <v>14</v>
      </c>
      <c r="H136" s="62">
        <v>39.4</v>
      </c>
      <c r="I136" s="62">
        <v>3.9</v>
      </c>
      <c r="J136" s="79">
        <f>I136*H136</f>
        <v>153.66</v>
      </c>
    </row>
    <row r="137" spans="2:10" ht="20.100000000000001" customHeight="1" x14ac:dyDescent="0.25">
      <c r="B137" s="275"/>
      <c r="C137" s="276"/>
      <c r="D137" s="276"/>
      <c r="E137" s="277"/>
      <c r="F137" s="71" t="s">
        <v>175</v>
      </c>
      <c r="G137" s="66"/>
      <c r="H137" s="62">
        <v>5.2</v>
      </c>
      <c r="I137" s="62">
        <v>3.9</v>
      </c>
      <c r="J137" s="79">
        <f>I137*H137</f>
        <v>20.28</v>
      </c>
    </row>
    <row r="138" spans="2:10" ht="17.25" customHeight="1" x14ac:dyDescent="0.25">
      <c r="B138" s="83" t="s">
        <v>124</v>
      </c>
      <c r="C138" s="107" t="s">
        <v>11</v>
      </c>
      <c r="D138" s="238">
        <v>200403</v>
      </c>
      <c r="E138" s="238"/>
      <c r="F138" s="114" t="s">
        <v>106</v>
      </c>
      <c r="G138" s="70" t="s">
        <v>14</v>
      </c>
      <c r="H138" s="108" t="s">
        <v>17</v>
      </c>
      <c r="I138" s="108" t="s">
        <v>15</v>
      </c>
      <c r="J138" s="78">
        <f>SUM(J139:J140)</f>
        <v>347.88</v>
      </c>
    </row>
    <row r="139" spans="2:10" ht="20.100000000000001" customHeight="1" x14ac:dyDescent="0.25">
      <c r="B139" s="272"/>
      <c r="C139" s="273"/>
      <c r="D139" s="273"/>
      <c r="E139" s="273"/>
      <c r="F139" s="71" t="s">
        <v>93</v>
      </c>
      <c r="G139" s="66" t="s">
        <v>14</v>
      </c>
      <c r="H139" s="62">
        <v>39.4</v>
      </c>
      <c r="I139" s="62">
        <v>3.9</v>
      </c>
      <c r="J139" s="79">
        <f>I139*H139*2</f>
        <v>307.32</v>
      </c>
    </row>
    <row r="140" spans="2:10" ht="20.100000000000001" customHeight="1" x14ac:dyDescent="0.25">
      <c r="B140" s="275"/>
      <c r="C140" s="276"/>
      <c r="D140" s="276"/>
      <c r="E140" s="276"/>
      <c r="F140" s="71" t="s">
        <v>175</v>
      </c>
      <c r="G140" s="66" t="s">
        <v>14</v>
      </c>
      <c r="H140" s="62">
        <v>5.2</v>
      </c>
      <c r="I140" s="62">
        <v>3.9</v>
      </c>
      <c r="J140" s="79">
        <f>I140*H140*2</f>
        <v>40.56</v>
      </c>
    </row>
    <row r="141" spans="2:10" ht="20.100000000000001" customHeight="1" x14ac:dyDescent="0.25">
      <c r="B141" s="226" t="s">
        <v>34</v>
      </c>
      <c r="C141" s="227"/>
      <c r="D141" s="227"/>
      <c r="E141" s="227"/>
      <c r="F141" s="227"/>
      <c r="G141" s="227"/>
      <c r="H141" s="227"/>
      <c r="I141" s="227"/>
      <c r="J141" s="228"/>
    </row>
    <row r="142" spans="2:10" ht="20.100000000000001" customHeight="1" x14ac:dyDescent="0.25">
      <c r="B142" s="82">
        <v>10</v>
      </c>
      <c r="C142" s="229">
        <v>250000</v>
      </c>
      <c r="D142" s="230"/>
      <c r="E142" s="231"/>
      <c r="F142" s="232" t="s">
        <v>35</v>
      </c>
      <c r="G142" s="227"/>
      <c r="H142" s="227"/>
      <c r="I142" s="233"/>
      <c r="J142" s="77" t="s">
        <v>9</v>
      </c>
    </row>
    <row r="143" spans="2:10" ht="20.100000000000001" customHeight="1" x14ac:dyDescent="0.25">
      <c r="B143" s="83" t="s">
        <v>111</v>
      </c>
      <c r="C143" s="107" t="s">
        <v>11</v>
      </c>
      <c r="D143" s="222">
        <v>250101</v>
      </c>
      <c r="E143" s="223"/>
      <c r="F143" s="69" t="s">
        <v>37</v>
      </c>
      <c r="G143" s="70" t="s">
        <v>130</v>
      </c>
      <c r="H143" s="224" t="s">
        <v>129</v>
      </c>
      <c r="I143" s="225"/>
      <c r="J143" s="78">
        <f>J144</f>
        <v>126</v>
      </c>
    </row>
    <row r="144" spans="2:10" s="61" customFormat="1" ht="20.100000000000001" customHeight="1" x14ac:dyDescent="0.25">
      <c r="B144" s="240"/>
      <c r="C144" s="241"/>
      <c r="D144" s="241"/>
      <c r="E144" s="242"/>
      <c r="F144" s="71" t="s">
        <v>38</v>
      </c>
      <c r="G144" s="66" t="s">
        <v>130</v>
      </c>
      <c r="H144" s="268">
        <f>2*21*3</f>
        <v>126</v>
      </c>
      <c r="I144" s="269"/>
      <c r="J144" s="79">
        <f>H144</f>
        <v>126</v>
      </c>
    </row>
    <row r="145" spans="2:10" ht="20.100000000000001" customHeight="1" x14ac:dyDescent="0.25">
      <c r="B145" s="83" t="s">
        <v>113</v>
      </c>
      <c r="C145" s="107" t="s">
        <v>11</v>
      </c>
      <c r="D145" s="238">
        <v>250103</v>
      </c>
      <c r="E145" s="238"/>
      <c r="F145" s="69" t="s">
        <v>39</v>
      </c>
      <c r="G145" s="70" t="s">
        <v>130</v>
      </c>
      <c r="H145" s="224" t="s">
        <v>129</v>
      </c>
      <c r="I145" s="225"/>
      <c r="J145" s="78">
        <f>J146</f>
        <v>504</v>
      </c>
    </row>
    <row r="146" spans="2:10" ht="20.100000000000001" customHeight="1" x14ac:dyDescent="0.25">
      <c r="B146" s="240"/>
      <c r="C146" s="241"/>
      <c r="D146" s="241"/>
      <c r="E146" s="242"/>
      <c r="F146" s="71" t="s">
        <v>40</v>
      </c>
      <c r="G146" s="66" t="s">
        <v>130</v>
      </c>
      <c r="H146" s="268">
        <f>8*21*3</f>
        <v>504</v>
      </c>
      <c r="I146" s="269"/>
      <c r="J146" s="79">
        <f>H146</f>
        <v>504</v>
      </c>
    </row>
    <row r="147" spans="2:10" ht="20.100000000000001" customHeight="1" x14ac:dyDescent="0.25">
      <c r="B147" s="142" t="s">
        <v>128</v>
      </c>
      <c r="C147" s="143" t="s">
        <v>11</v>
      </c>
      <c r="D147" s="267">
        <v>250111</v>
      </c>
      <c r="E147" s="267"/>
      <c r="F147" s="69" t="s">
        <v>127</v>
      </c>
      <c r="G147" s="70" t="s">
        <v>130</v>
      </c>
      <c r="H147" s="224" t="s">
        <v>129</v>
      </c>
      <c r="I147" s="225"/>
      <c r="J147" s="78">
        <f>J148</f>
        <v>900</v>
      </c>
    </row>
    <row r="148" spans="2:10" ht="20.100000000000001" customHeight="1" x14ac:dyDescent="0.25">
      <c r="B148" s="287"/>
      <c r="C148" s="241"/>
      <c r="D148" s="241"/>
      <c r="E148" s="242"/>
      <c r="F148" s="118" t="s">
        <v>181</v>
      </c>
      <c r="G148" s="66" t="s">
        <v>130</v>
      </c>
      <c r="H148" s="268">
        <f>10*30*3</f>
        <v>900</v>
      </c>
      <c r="I148" s="269"/>
      <c r="J148" s="79">
        <f>H148</f>
        <v>900</v>
      </c>
    </row>
    <row r="149" spans="2:10" s="61" customFormat="1" ht="20.100000000000001" customHeight="1" x14ac:dyDescent="0.25">
      <c r="B149" s="265" t="s">
        <v>109</v>
      </c>
      <c r="C149" s="266"/>
      <c r="D149" s="266"/>
      <c r="E149" s="266"/>
      <c r="F149" s="227"/>
      <c r="G149" s="227"/>
      <c r="H149" s="227"/>
      <c r="I149" s="227"/>
      <c r="J149" s="228"/>
    </row>
    <row r="150" spans="2:10" s="61" customFormat="1" ht="20.100000000000001" customHeight="1" x14ac:dyDescent="0.25">
      <c r="B150" s="82">
        <v>11</v>
      </c>
      <c r="C150" s="229">
        <v>260000</v>
      </c>
      <c r="D150" s="230"/>
      <c r="E150" s="231"/>
      <c r="F150" s="232" t="s">
        <v>110</v>
      </c>
      <c r="G150" s="227"/>
      <c r="H150" s="227"/>
      <c r="I150" s="233"/>
      <c r="J150" s="77" t="s">
        <v>9</v>
      </c>
    </row>
    <row r="151" spans="2:10" ht="48.75" customHeight="1" x14ac:dyDescent="0.25">
      <c r="B151" s="83" t="s">
        <v>125</v>
      </c>
      <c r="C151" s="107" t="s">
        <v>11</v>
      </c>
      <c r="D151" s="222">
        <v>261304</v>
      </c>
      <c r="E151" s="223"/>
      <c r="F151" s="69" t="s">
        <v>112</v>
      </c>
      <c r="G151" s="70" t="s">
        <v>14</v>
      </c>
      <c r="H151" s="108" t="s">
        <v>17</v>
      </c>
      <c r="I151" s="108" t="s">
        <v>15</v>
      </c>
      <c r="J151" s="78">
        <f>SUM(J152:J153)</f>
        <v>87.259999999999991</v>
      </c>
    </row>
    <row r="152" spans="2:10" ht="20.100000000000001" customHeight="1" x14ac:dyDescent="0.25">
      <c r="B152" s="105"/>
      <c r="C152" s="106"/>
      <c r="D152" s="106"/>
      <c r="E152" s="106"/>
      <c r="F152" s="71" t="s">
        <v>93</v>
      </c>
      <c r="G152" s="66" t="s">
        <v>14</v>
      </c>
      <c r="H152" s="62">
        <v>39.4</v>
      </c>
      <c r="I152" s="62">
        <f>3.9-2.2</f>
        <v>1.6999999999999997</v>
      </c>
      <c r="J152" s="79">
        <f>I152*H152</f>
        <v>66.97999999999999</v>
      </c>
    </row>
    <row r="153" spans="2:10" ht="20.100000000000001" customHeight="1" x14ac:dyDescent="0.25">
      <c r="B153" s="105"/>
      <c r="C153" s="106"/>
      <c r="D153" s="106"/>
      <c r="E153" s="106"/>
      <c r="F153" s="71" t="s">
        <v>180</v>
      </c>
      <c r="G153" s="66" t="s">
        <v>14</v>
      </c>
      <c r="H153" s="62">
        <v>5.2</v>
      </c>
      <c r="I153" s="62">
        <v>3.9</v>
      </c>
      <c r="J153" s="79">
        <f>I153*H153</f>
        <v>20.28</v>
      </c>
    </row>
    <row r="154" spans="2:10" ht="20.100000000000001" customHeight="1" x14ac:dyDescent="0.25">
      <c r="B154" s="83" t="s">
        <v>126</v>
      </c>
      <c r="C154" s="107" t="s">
        <v>11</v>
      </c>
      <c r="D154" s="222">
        <v>261001</v>
      </c>
      <c r="E154" s="223"/>
      <c r="F154" s="69" t="s">
        <v>114</v>
      </c>
      <c r="G154" s="70" t="s">
        <v>14</v>
      </c>
      <c r="H154" s="108" t="s">
        <v>17</v>
      </c>
      <c r="I154" s="108" t="s">
        <v>15</v>
      </c>
      <c r="J154" s="78">
        <f>SUM(J155:J156)</f>
        <v>174.51999999999998</v>
      </c>
    </row>
    <row r="155" spans="2:10" ht="17.25" customHeight="1" x14ac:dyDescent="0.25">
      <c r="B155" s="272"/>
      <c r="C155" s="273"/>
      <c r="D155" s="273"/>
      <c r="E155" s="274"/>
      <c r="F155" s="71" t="s">
        <v>93</v>
      </c>
      <c r="G155" s="66" t="s">
        <v>14</v>
      </c>
      <c r="H155" s="62">
        <v>39.4</v>
      </c>
      <c r="I155" s="62">
        <f>3.9-2.2</f>
        <v>1.6999999999999997</v>
      </c>
      <c r="J155" s="79">
        <f>I155*H155*2</f>
        <v>133.95999999999998</v>
      </c>
    </row>
    <row r="156" spans="2:10" ht="20.25" customHeight="1" x14ac:dyDescent="0.25">
      <c r="B156" s="275"/>
      <c r="C156" s="276"/>
      <c r="D156" s="276"/>
      <c r="E156" s="277"/>
      <c r="F156" s="71" t="s">
        <v>180</v>
      </c>
      <c r="G156" s="66" t="s">
        <v>14</v>
      </c>
      <c r="H156" s="62">
        <v>5.2</v>
      </c>
      <c r="I156" s="62">
        <v>3.9</v>
      </c>
      <c r="J156" s="79">
        <f>I156*H156*2</f>
        <v>40.56</v>
      </c>
    </row>
    <row r="157" spans="2:10" ht="20.100000000000001" customHeight="1" x14ac:dyDescent="0.25">
      <c r="B157" s="226" t="s">
        <v>178</v>
      </c>
      <c r="C157" s="227"/>
      <c r="D157" s="227"/>
      <c r="E157" s="227"/>
      <c r="F157" s="227"/>
      <c r="G157" s="227"/>
      <c r="H157" s="227"/>
      <c r="I157" s="227"/>
      <c r="J157" s="228"/>
    </row>
    <row r="158" spans="2:10" ht="20.100000000000001" customHeight="1" x14ac:dyDescent="0.25">
      <c r="B158" s="82">
        <v>12</v>
      </c>
      <c r="C158" s="229">
        <v>260000</v>
      </c>
      <c r="D158" s="230"/>
      <c r="E158" s="231"/>
      <c r="F158" s="232" t="s">
        <v>110</v>
      </c>
      <c r="G158" s="227"/>
      <c r="H158" s="227"/>
      <c r="I158" s="233"/>
      <c r="J158" s="77" t="s">
        <v>9</v>
      </c>
    </row>
    <row r="159" spans="2:10" ht="39.75" customHeight="1" x14ac:dyDescent="0.25">
      <c r="B159" s="83" t="s">
        <v>211</v>
      </c>
      <c r="C159" s="121"/>
      <c r="D159" s="222" t="s">
        <v>179</v>
      </c>
      <c r="E159" s="223"/>
      <c r="F159" s="69" t="e">
        <f>#REF!</f>
        <v>#REF!</v>
      </c>
      <c r="G159" s="70" t="s">
        <v>14</v>
      </c>
      <c r="H159" s="108" t="s">
        <v>17</v>
      </c>
      <c r="I159" s="108" t="s">
        <v>15</v>
      </c>
      <c r="J159" s="78">
        <f>SUM(J160:J161)</f>
        <v>75.819999999999993</v>
      </c>
    </row>
    <row r="160" spans="2:10" ht="20.25" customHeight="1" x14ac:dyDescent="0.25">
      <c r="B160" s="272"/>
      <c r="C160" s="273"/>
      <c r="D160" s="273"/>
      <c r="E160" s="274"/>
      <c r="F160" s="71" t="s">
        <v>93</v>
      </c>
      <c r="G160" s="66" t="s">
        <v>14</v>
      </c>
      <c r="H160" s="62">
        <v>39.4</v>
      </c>
      <c r="I160" s="62">
        <f>3.9-2.2</f>
        <v>1.6999999999999997</v>
      </c>
      <c r="J160" s="79">
        <f>I160*H160</f>
        <v>66.97999999999999</v>
      </c>
    </row>
    <row r="161" spans="2:10" ht="24.75" customHeight="1" x14ac:dyDescent="0.25">
      <c r="B161" s="275"/>
      <c r="C161" s="276"/>
      <c r="D161" s="276"/>
      <c r="E161" s="277"/>
      <c r="F161" s="71" t="s">
        <v>180</v>
      </c>
      <c r="G161" s="66" t="s">
        <v>14</v>
      </c>
      <c r="H161" s="62">
        <v>5.2</v>
      </c>
      <c r="I161" s="62">
        <v>1.7</v>
      </c>
      <c r="J161" s="79">
        <f>I161*H161</f>
        <v>8.84</v>
      </c>
    </row>
    <row r="162" spans="2:10" ht="20.100000000000001" customHeight="1" x14ac:dyDescent="0.25">
      <c r="B162" s="105"/>
      <c r="C162" s="106"/>
      <c r="D162" s="106"/>
      <c r="E162" s="106"/>
      <c r="F162" s="86"/>
      <c r="G162" s="87"/>
      <c r="H162" s="88"/>
      <c r="I162" s="88"/>
      <c r="J162" s="89"/>
    </row>
    <row r="163" spans="2:10" ht="20.100000000000001" customHeight="1" x14ac:dyDescent="0.25">
      <c r="B163" s="105"/>
      <c r="C163" s="106"/>
      <c r="D163" s="106"/>
      <c r="E163" s="106"/>
      <c r="F163" s="86"/>
      <c r="G163" s="87"/>
      <c r="H163" s="88"/>
      <c r="I163" s="88"/>
      <c r="J163" s="89"/>
    </row>
    <row r="164" spans="2:10" ht="35.25" customHeight="1" x14ac:dyDescent="0.25">
      <c r="B164" s="36"/>
      <c r="F164" s="103" t="s">
        <v>41</v>
      </c>
      <c r="H164" s="63"/>
      <c r="I164" s="63"/>
      <c r="J164" s="73"/>
    </row>
    <row r="165" spans="2:10" ht="20.100000000000001" customHeight="1" x14ac:dyDescent="0.25">
      <c r="B165" s="36"/>
      <c r="F165" s="72" t="s">
        <v>42</v>
      </c>
      <c r="H165" s="63"/>
      <c r="I165" s="63"/>
      <c r="J165" s="73"/>
    </row>
    <row r="166" spans="2:10" ht="20.100000000000001" customHeight="1" x14ac:dyDescent="0.25">
      <c r="B166" s="36"/>
      <c r="F166" s="72" t="s">
        <v>227</v>
      </c>
      <c r="H166" s="63"/>
      <c r="I166" s="63"/>
      <c r="J166" s="73"/>
    </row>
    <row r="167" spans="2:10" ht="20.100000000000001" customHeight="1" x14ac:dyDescent="0.25">
      <c r="B167" s="36"/>
      <c r="F167" s="72" t="s">
        <v>225</v>
      </c>
      <c r="H167" s="63"/>
      <c r="I167" s="63"/>
      <c r="J167" s="73"/>
    </row>
    <row r="168" spans="2:10" ht="20.100000000000001" customHeight="1" thickBot="1" x14ac:dyDescent="0.3">
      <c r="B168" s="37"/>
      <c r="C168" s="30"/>
      <c r="D168" s="30"/>
      <c r="E168" s="30"/>
      <c r="F168" s="74"/>
      <c r="G168" s="27"/>
      <c r="H168" s="75"/>
      <c r="I168" s="75"/>
      <c r="J168" s="76"/>
    </row>
  </sheetData>
  <mergeCells count="161">
    <mergeCell ref="B160:E161"/>
    <mergeCell ref="H148:I148"/>
    <mergeCell ref="B7:J7"/>
    <mergeCell ref="B148:E148"/>
    <mergeCell ref="B157:J157"/>
    <mergeCell ref="C158:E158"/>
    <mergeCell ref="F158:I158"/>
    <mergeCell ref="D159:E159"/>
    <mergeCell ref="B155:E156"/>
    <mergeCell ref="B133:E134"/>
    <mergeCell ref="B136:E137"/>
    <mergeCell ref="B139:E140"/>
    <mergeCell ref="B125:J125"/>
    <mergeCell ref="C126:E126"/>
    <mergeCell ref="F126:I126"/>
    <mergeCell ref="D127:E127"/>
    <mergeCell ref="H127:I127"/>
    <mergeCell ref="H128:I128"/>
    <mergeCell ref="H129:I129"/>
    <mergeCell ref="H118:I118"/>
    <mergeCell ref="D119:E119"/>
    <mergeCell ref="B114:E114"/>
    <mergeCell ref="B116:E116"/>
    <mergeCell ref="B118:E118"/>
    <mergeCell ref="D91:E91"/>
    <mergeCell ref="D93:E93"/>
    <mergeCell ref="F74:J74"/>
    <mergeCell ref="D75:E75"/>
    <mergeCell ref="B120:E120"/>
    <mergeCell ref="D115:E115"/>
    <mergeCell ref="H115:I115"/>
    <mergeCell ref="H116:I116"/>
    <mergeCell ref="D117:E117"/>
    <mergeCell ref="H117:I117"/>
    <mergeCell ref="H114:I114"/>
    <mergeCell ref="B106:E108"/>
    <mergeCell ref="B88:E89"/>
    <mergeCell ref="B59:E59"/>
    <mergeCell ref="F59:J59"/>
    <mergeCell ref="D60:E60"/>
    <mergeCell ref="D62:E62"/>
    <mergeCell ref="B82:E83"/>
    <mergeCell ref="B85:E86"/>
    <mergeCell ref="H50:I50"/>
    <mergeCell ref="H112:I112"/>
    <mergeCell ref="D113:E113"/>
    <mergeCell ref="H113:I113"/>
    <mergeCell ref="B79:E80"/>
    <mergeCell ref="B76:E77"/>
    <mergeCell ref="D102:E102"/>
    <mergeCell ref="B104:E104"/>
    <mergeCell ref="F104:J104"/>
    <mergeCell ref="D105:E105"/>
    <mergeCell ref="D95:E95"/>
    <mergeCell ref="D97:E97"/>
    <mergeCell ref="D99:E99"/>
    <mergeCell ref="B101:E101"/>
    <mergeCell ref="F101:J101"/>
    <mergeCell ref="D87:E87"/>
    <mergeCell ref="B90:E90"/>
    <mergeCell ref="F90:J90"/>
    <mergeCell ref="D30:E30"/>
    <mergeCell ref="B48:E48"/>
    <mergeCell ref="F48:J48"/>
    <mergeCell ref="C33:E33"/>
    <mergeCell ref="F33:J33"/>
    <mergeCell ref="D34:E34"/>
    <mergeCell ref="B35:E35"/>
    <mergeCell ref="D36:E36"/>
    <mergeCell ref="H28:I28"/>
    <mergeCell ref="H29:I29"/>
    <mergeCell ref="B31:E32"/>
    <mergeCell ref="D39:E39"/>
    <mergeCell ref="C38:E38"/>
    <mergeCell ref="F38:J38"/>
    <mergeCell ref="D41:E41"/>
    <mergeCell ref="D16:E16"/>
    <mergeCell ref="C26:E26"/>
    <mergeCell ref="F26:J26"/>
    <mergeCell ref="D27:E27"/>
    <mergeCell ref="H27:I27"/>
    <mergeCell ref="B149:J149"/>
    <mergeCell ref="C150:E150"/>
    <mergeCell ref="F150:I150"/>
    <mergeCell ref="D123:E123"/>
    <mergeCell ref="D147:E147"/>
    <mergeCell ref="H143:I143"/>
    <mergeCell ref="H145:I145"/>
    <mergeCell ref="H144:I144"/>
    <mergeCell ref="H146:I146"/>
    <mergeCell ref="H147:I147"/>
    <mergeCell ref="D143:E143"/>
    <mergeCell ref="D135:E135"/>
    <mergeCell ref="D138:E138"/>
    <mergeCell ref="B141:J141"/>
    <mergeCell ref="C142:E142"/>
    <mergeCell ref="F142:I142"/>
    <mergeCell ref="F71:I71"/>
    <mergeCell ref="D49:E49"/>
    <mergeCell ref="D51:E51"/>
    <mergeCell ref="B13:E13"/>
    <mergeCell ref="D12:E12"/>
    <mergeCell ref="B2:J2"/>
    <mergeCell ref="B3:J3"/>
    <mergeCell ref="B4:J4"/>
    <mergeCell ref="B6:J6"/>
    <mergeCell ref="B10:J10"/>
    <mergeCell ref="F11:I11"/>
    <mergeCell ref="H9:J9"/>
    <mergeCell ref="B8:J8"/>
    <mergeCell ref="D9:E9"/>
    <mergeCell ref="C11:E11"/>
    <mergeCell ref="B5:J5"/>
    <mergeCell ref="D14:E14"/>
    <mergeCell ref="B73:E73"/>
    <mergeCell ref="D20:E20"/>
    <mergeCell ref="B146:E146"/>
    <mergeCell ref="B144:E144"/>
    <mergeCell ref="D145:E145"/>
    <mergeCell ref="B18:J18"/>
    <mergeCell ref="C19:E19"/>
    <mergeCell ref="F19:I19"/>
    <mergeCell ref="B43:J43"/>
    <mergeCell ref="C44:E44"/>
    <mergeCell ref="F44:I44"/>
    <mergeCell ref="B24:J24"/>
    <mergeCell ref="C25:E25"/>
    <mergeCell ref="F25:I25"/>
    <mergeCell ref="D111:E111"/>
    <mergeCell ref="B112:E112"/>
    <mergeCell ref="H111:I111"/>
    <mergeCell ref="B45:E45"/>
    <mergeCell ref="F45:J45"/>
    <mergeCell ref="D46:E46"/>
    <mergeCell ref="B47:E47"/>
    <mergeCell ref="B70:J70"/>
    <mergeCell ref="C71:E71"/>
    <mergeCell ref="D53:E53"/>
    <mergeCell ref="D55:E55"/>
    <mergeCell ref="D57:E57"/>
    <mergeCell ref="H49:I49"/>
    <mergeCell ref="D151:E151"/>
    <mergeCell ref="D154:E154"/>
    <mergeCell ref="D72:E72"/>
    <mergeCell ref="B121:J121"/>
    <mergeCell ref="C122:E122"/>
    <mergeCell ref="F122:I122"/>
    <mergeCell ref="B130:J130"/>
    <mergeCell ref="C131:E131"/>
    <mergeCell ref="F131:I131"/>
    <mergeCell ref="B109:J109"/>
    <mergeCell ref="C110:E110"/>
    <mergeCell ref="F110:I110"/>
    <mergeCell ref="D132:E132"/>
    <mergeCell ref="D78:E78"/>
    <mergeCell ref="D81:E81"/>
    <mergeCell ref="D84:E84"/>
    <mergeCell ref="D64:E64"/>
    <mergeCell ref="D66:E66"/>
    <mergeCell ref="D68:E68"/>
    <mergeCell ref="B74:E74"/>
  </mergeCells>
  <phoneticPr fontId="11" type="noConversion"/>
  <pageMargins left="0.511811024" right="0.511811024" top="0.78740157499999996" bottom="0.78740157499999996" header="0.31496062000000002" footer="0.31496062000000002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6"/>
  <sheetViews>
    <sheetView showGridLines="0" zoomScale="80" zoomScaleNormal="80" zoomScaleSheetLayoutView="73" zoomScalePageLayoutView="60" workbookViewId="0">
      <selection activeCell="E116" sqref="E116"/>
    </sheetView>
  </sheetViews>
  <sheetFormatPr defaultColWidth="9.140625" defaultRowHeight="14.25" x14ac:dyDescent="0.25"/>
  <cols>
    <col min="1" max="1" width="9.140625" style="138"/>
    <col min="2" max="2" width="9.7109375" style="28" customWidth="1"/>
    <col min="3" max="3" width="15.5703125" style="28" bestFit="1" customWidth="1"/>
    <col min="4" max="4" width="17.140625" style="39" customWidth="1"/>
    <col min="5" max="5" width="92.42578125" style="68" customWidth="1"/>
    <col min="6" max="6" width="10.85546875" style="26" customWidth="1"/>
    <col min="7" max="7" width="16.7109375" style="26" customWidth="1"/>
    <col min="8" max="8" width="17.85546875" style="44" customWidth="1"/>
    <col min="9" max="9" width="19.140625" style="44" customWidth="1"/>
    <col min="10" max="10" width="20.7109375" style="32" bestFit="1" customWidth="1"/>
    <col min="11" max="11" width="13.7109375" style="137" customWidth="1"/>
    <col min="12" max="12" width="25.140625" style="138" bestFit="1" customWidth="1"/>
    <col min="13" max="16384" width="9.140625" style="34"/>
  </cols>
  <sheetData>
    <row r="1" spans="1:12" ht="21.75" customHeight="1" x14ac:dyDescent="0.25">
      <c r="B1" s="316" t="s">
        <v>0</v>
      </c>
      <c r="C1" s="317"/>
      <c r="D1" s="317"/>
      <c r="E1" s="317"/>
      <c r="F1" s="317"/>
      <c r="G1" s="317"/>
      <c r="H1" s="317"/>
      <c r="I1" s="317"/>
      <c r="J1" s="318"/>
      <c r="K1" s="306"/>
    </row>
    <row r="2" spans="1:12" ht="15.75" x14ac:dyDescent="0.25">
      <c r="B2" s="307" t="s">
        <v>1</v>
      </c>
      <c r="C2" s="308"/>
      <c r="D2" s="308"/>
      <c r="E2" s="308"/>
      <c r="F2" s="308"/>
      <c r="G2" s="308"/>
      <c r="H2" s="308"/>
      <c r="I2" s="308"/>
      <c r="J2" s="309"/>
      <c r="K2" s="306"/>
    </row>
    <row r="3" spans="1:12" ht="20.25" customHeight="1" x14ac:dyDescent="0.25">
      <c r="B3" s="249" t="s">
        <v>228</v>
      </c>
      <c r="C3" s="252"/>
      <c r="D3" s="252"/>
      <c r="E3" s="252"/>
      <c r="F3" s="252"/>
      <c r="G3" s="252"/>
      <c r="H3" s="252"/>
      <c r="I3" s="252"/>
      <c r="J3" s="251"/>
      <c r="K3" s="306"/>
    </row>
    <row r="4" spans="1:12" ht="14.25" customHeight="1" x14ac:dyDescent="0.25">
      <c r="B4" s="310" t="s">
        <v>2</v>
      </c>
      <c r="C4" s="311"/>
      <c r="D4" s="311"/>
      <c r="E4" s="311"/>
      <c r="F4" s="311"/>
      <c r="G4" s="311"/>
      <c r="H4" s="311"/>
      <c r="I4" s="311"/>
      <c r="J4" s="312"/>
      <c r="K4" s="306"/>
    </row>
    <row r="5" spans="1:12" ht="19.5" customHeight="1" x14ac:dyDescent="0.25">
      <c r="B5" s="313" t="s">
        <v>229</v>
      </c>
      <c r="C5" s="314"/>
      <c r="D5" s="314"/>
      <c r="E5" s="314"/>
      <c r="F5" s="314"/>
      <c r="G5" s="314"/>
      <c r="H5" s="314"/>
      <c r="I5" s="314"/>
      <c r="J5" s="315"/>
      <c r="K5" s="306"/>
    </row>
    <row r="6" spans="1:12" ht="16.5" thickBot="1" x14ac:dyDescent="0.3">
      <c r="B6" s="319" t="s">
        <v>231</v>
      </c>
      <c r="C6" s="320"/>
      <c r="D6" s="320"/>
      <c r="E6" s="320"/>
      <c r="F6" s="320"/>
      <c r="G6" s="320"/>
      <c r="H6" s="320"/>
      <c r="I6" s="320"/>
      <c r="J6" s="321"/>
      <c r="K6" s="141"/>
    </row>
    <row r="7" spans="1:12" ht="49.5" customHeight="1" thickBot="1" x14ac:dyDescent="0.3">
      <c r="B7" s="322" t="s">
        <v>43</v>
      </c>
      <c r="C7" s="323"/>
      <c r="D7" s="323"/>
      <c r="E7" s="323"/>
      <c r="F7" s="323"/>
      <c r="G7" s="323"/>
      <c r="H7" s="323"/>
      <c r="I7" s="323"/>
      <c r="J7" s="324"/>
    </row>
    <row r="8" spans="1:12" ht="34.5" customHeight="1" thickBot="1" x14ac:dyDescent="0.3">
      <c r="B8" s="154" t="s">
        <v>4</v>
      </c>
      <c r="C8" s="154" t="s">
        <v>44</v>
      </c>
      <c r="D8" s="154" t="s">
        <v>45</v>
      </c>
      <c r="E8" s="155" t="s">
        <v>46</v>
      </c>
      <c r="F8" s="156" t="s">
        <v>6</v>
      </c>
      <c r="G8" s="156" t="s">
        <v>47</v>
      </c>
      <c r="H8" s="157" t="s">
        <v>48</v>
      </c>
      <c r="I8" s="158" t="s">
        <v>49</v>
      </c>
      <c r="J8" s="159" t="s">
        <v>9</v>
      </c>
    </row>
    <row r="9" spans="1:12" s="61" customFormat="1" ht="16.5" customHeight="1" x14ac:dyDescent="0.25">
      <c r="A9" s="135"/>
      <c r="B9" s="325" t="s">
        <v>50</v>
      </c>
      <c r="C9" s="326"/>
      <c r="D9" s="326"/>
      <c r="E9" s="326"/>
      <c r="F9" s="326"/>
      <c r="G9" s="326"/>
      <c r="H9" s="326"/>
      <c r="I9" s="326"/>
      <c r="J9" s="160">
        <f>SUM(J11:J13)</f>
        <v>0</v>
      </c>
      <c r="K9" s="133"/>
      <c r="L9" s="135"/>
    </row>
    <row r="10" spans="1:12" ht="15.75" x14ac:dyDescent="0.25">
      <c r="B10" s="161">
        <v>1</v>
      </c>
      <c r="C10" s="297" t="s">
        <v>8</v>
      </c>
      <c r="D10" s="297"/>
      <c r="E10" s="297"/>
      <c r="F10" s="297"/>
      <c r="G10" s="297"/>
      <c r="H10" s="297"/>
      <c r="I10" s="297"/>
      <c r="J10" s="298"/>
    </row>
    <row r="11" spans="1:12" ht="15" x14ac:dyDescent="0.25">
      <c r="B11" s="162" t="s">
        <v>10</v>
      </c>
      <c r="C11" s="163" t="str">
        <f>VLOOKUP(B11,'MEMÓRIA DE CÁLCULO'!$B:$J,2,)</f>
        <v>GOINFRA</v>
      </c>
      <c r="D11" s="163">
        <f>VLOOKUP(B11,'MEMÓRIA DE CÁLCULO'!$B:$J,3,)</f>
        <v>20155</v>
      </c>
      <c r="E11" s="164" t="str">
        <f>VLOOKUP(B11,'MEMÓRIA DE CÁLCULO'!$B:$J,5,)</f>
        <v>DEMOLIÇÃO MANUAL EM MURO/PAREDE PLACA PRÉ-MOLDADA C/TRANSP. ATÉ CB. E CARGA</v>
      </c>
      <c r="F11" s="163" t="str">
        <f>VLOOKUP(B11,'MEMÓRIA DE CÁLCULO'!$B:$J,6,)</f>
        <v>m²</v>
      </c>
      <c r="G11" s="165">
        <f>VLOOKUP(B11,'MEMÓRIA DE CÁLCULO'!$B:$J,9,)</f>
        <v>173.94</v>
      </c>
      <c r="H11" s="166"/>
      <c r="I11" s="166"/>
      <c r="J11" s="167"/>
    </row>
    <row r="12" spans="1:12" ht="15" x14ac:dyDescent="0.25">
      <c r="B12" s="168" t="s">
        <v>12</v>
      </c>
      <c r="C12" s="163" t="str">
        <f>VLOOKUP(B12,'MEMÓRIA DE CÁLCULO'!$B:$J,2,)</f>
        <v>GOINFRA</v>
      </c>
      <c r="D12" s="163">
        <f>VLOOKUP(B12,'MEMÓRIA DE CÁLCULO'!$B:$J,3,)</f>
        <v>20190</v>
      </c>
      <c r="E12" s="164" t="str">
        <f>VLOOKUP(B12,'MEMÓRIA DE CÁLCULO'!$B:$J,5,)</f>
        <v>LIMPEZA MECANICA DE TERRENO</v>
      </c>
      <c r="F12" s="163" t="str">
        <f>VLOOKUP(B12,'MEMÓRIA DE CÁLCULO'!$B:$J,6,)</f>
        <v>m²</v>
      </c>
      <c r="G12" s="165">
        <f>VLOOKUP(B12,'MEMÓRIA DE CÁLCULO'!$B:$J,9,)</f>
        <v>78.8</v>
      </c>
      <c r="H12" s="169"/>
      <c r="I12" s="169"/>
      <c r="J12" s="170"/>
    </row>
    <row r="13" spans="1:12" ht="15" x14ac:dyDescent="0.25">
      <c r="B13" s="168" t="s">
        <v>131</v>
      </c>
      <c r="C13" s="163" t="str">
        <f>VLOOKUP(B13,'MEMÓRIA DE CÁLCULO'!$B:$J,2,)</f>
        <v>GOINFRA</v>
      </c>
      <c r="D13" s="163">
        <v>20129</v>
      </c>
      <c r="E13" s="164" t="str">
        <f>VLOOKUP(B13,'MEMÓRIA DE CÁLCULO'!$B:$J,5,)</f>
        <v>DEMOLIÇÃO DE CONCRETO ARMADO</v>
      </c>
      <c r="F13" s="163" t="str">
        <f>VLOOKUP(B13,'MEMÓRIA DE CÁLCULO'!$B:$J,6,)</f>
        <v>m²</v>
      </c>
      <c r="G13" s="165">
        <f>VLOOKUP(B13,'MEMÓRIA DE CÁLCULO'!$B:$J,9,)</f>
        <v>4</v>
      </c>
      <c r="H13" s="169"/>
      <c r="I13" s="169"/>
      <c r="J13" s="170"/>
    </row>
    <row r="14" spans="1:12" ht="15" x14ac:dyDescent="0.25">
      <c r="B14" s="275"/>
      <c r="C14" s="276"/>
      <c r="D14" s="276"/>
      <c r="E14" s="276"/>
      <c r="F14" s="276"/>
      <c r="G14" s="276"/>
      <c r="H14" s="276"/>
      <c r="I14" s="276"/>
      <c r="J14" s="303"/>
    </row>
    <row r="15" spans="1:12" ht="18" customHeight="1" x14ac:dyDescent="0.25">
      <c r="B15" s="234" t="s">
        <v>51</v>
      </c>
      <c r="C15" s="235"/>
      <c r="D15" s="235"/>
      <c r="E15" s="235"/>
      <c r="F15" s="235"/>
      <c r="G15" s="235"/>
      <c r="H15" s="235"/>
      <c r="I15" s="235"/>
      <c r="J15" s="171">
        <f>SUM(J17:J17)</f>
        <v>0</v>
      </c>
    </row>
    <row r="16" spans="1:12" ht="15.75" x14ac:dyDescent="0.25">
      <c r="B16" s="161">
        <v>2</v>
      </c>
      <c r="C16" s="297" t="s">
        <v>52</v>
      </c>
      <c r="D16" s="297"/>
      <c r="E16" s="297"/>
      <c r="F16" s="297"/>
      <c r="G16" s="297"/>
      <c r="H16" s="297"/>
      <c r="I16" s="297"/>
      <c r="J16" s="298"/>
    </row>
    <row r="17" spans="1:12" ht="15" x14ac:dyDescent="0.25">
      <c r="B17" s="162" t="s">
        <v>20</v>
      </c>
      <c r="C17" s="163" t="str">
        <f>VLOOKUP(B17,'MEMÓRIA DE CÁLCULO'!$B:$J,2,)</f>
        <v>GOINFRA</v>
      </c>
      <c r="D17" s="163">
        <f>VLOOKUP(B17,'MEMÓRIA DE CÁLCULO'!$B:$J,3,)</f>
        <v>30105</v>
      </c>
      <c r="E17" s="164" t="str">
        <f>VLOOKUP(B17,'MEMÓRIA DE CÁLCULO'!$B:$J,5,)</f>
        <v>TRANSPORTE DE ENTULHO EM CAÇAMBA ESTACIONÁRIA INCLUSO A CARGA MANUAL - 30% EMPOLAMENTO</v>
      </c>
      <c r="F17" s="163" t="str">
        <f>VLOOKUP(B17,'MEMÓRIA DE CÁLCULO'!$B:$J,6,)</f>
        <v>m³</v>
      </c>
      <c r="G17" s="165">
        <f>VLOOKUP(B17,'MEMÓRIA DE CÁLCULO'!$B:$J,9,)</f>
        <v>8.9364599999999985</v>
      </c>
      <c r="H17" s="172"/>
      <c r="I17" s="172"/>
      <c r="J17" s="173"/>
    </row>
    <row r="18" spans="1:12" ht="15" x14ac:dyDescent="0.25">
      <c r="B18" s="275"/>
      <c r="C18" s="276"/>
      <c r="D18" s="276"/>
      <c r="E18" s="276"/>
      <c r="F18" s="276"/>
      <c r="G18" s="276"/>
      <c r="H18" s="276"/>
      <c r="I18" s="276"/>
      <c r="J18" s="303"/>
    </row>
    <row r="19" spans="1:12" ht="18.75" customHeight="1" x14ac:dyDescent="0.25">
      <c r="B19" s="226" t="s">
        <v>53</v>
      </c>
      <c r="C19" s="227"/>
      <c r="D19" s="227"/>
      <c r="E19" s="227"/>
      <c r="F19" s="227"/>
      <c r="G19" s="227"/>
      <c r="H19" s="227"/>
      <c r="I19" s="233"/>
      <c r="J19" s="171">
        <f>SUM(J24,J21,J27)</f>
        <v>0</v>
      </c>
    </row>
    <row r="20" spans="1:12" ht="15.75" x14ac:dyDescent="0.25">
      <c r="B20" s="174">
        <v>3</v>
      </c>
      <c r="C20" s="304" t="s">
        <v>22</v>
      </c>
      <c r="D20" s="304"/>
      <c r="E20" s="304"/>
      <c r="F20" s="304"/>
      <c r="G20" s="304"/>
      <c r="H20" s="304"/>
      <c r="I20" s="304"/>
      <c r="J20" s="305"/>
    </row>
    <row r="21" spans="1:12" ht="15.75" x14ac:dyDescent="0.25">
      <c r="B21" s="289" t="s">
        <v>134</v>
      </c>
      <c r="C21" s="290"/>
      <c r="D21" s="290"/>
      <c r="E21" s="290"/>
      <c r="F21" s="290"/>
      <c r="G21" s="290"/>
      <c r="H21" s="290"/>
      <c r="I21" s="290"/>
      <c r="J21" s="175">
        <f>SUM(J22:J23)</f>
        <v>0</v>
      </c>
    </row>
    <row r="22" spans="1:12" ht="15" x14ac:dyDescent="0.25">
      <c r="B22" s="162" t="s">
        <v>24</v>
      </c>
      <c r="C22" s="163" t="str">
        <f>VLOOKUP(B22,'MEMÓRIA DE CÁLCULO'!$B:$J,2,)</f>
        <v>GOINFRA</v>
      </c>
      <c r="D22" s="163">
        <f>VLOOKUP(B22,'MEMÓRIA DE CÁLCULO'!$B:$J,3,)</f>
        <v>41002</v>
      </c>
      <c r="E22" s="164" t="str">
        <f>VLOOKUP(B22,'MEMÓRIA DE CÁLCULO'!$B:$J,5,)</f>
        <v>APILOAMENTO</v>
      </c>
      <c r="F22" s="163" t="str">
        <f>VLOOKUP(B22,'MEMÓRIA DE CÁLCULO'!$B:$J,6,)</f>
        <v>m²</v>
      </c>
      <c r="G22" s="165">
        <f>VLOOKUP(B22,'MEMÓRIA DE CÁLCULO'!$B:$J,9,)</f>
        <v>15.641499999999999</v>
      </c>
      <c r="H22" s="176"/>
      <c r="I22" s="176"/>
      <c r="J22" s="173"/>
    </row>
    <row r="23" spans="1:12" ht="15" x14ac:dyDescent="0.25">
      <c r="B23" s="162" t="s">
        <v>183</v>
      </c>
      <c r="C23" s="163" t="str">
        <f>VLOOKUP(B23,'MEMÓRIA DE CÁLCULO'!$B:$J,2,)</f>
        <v>GOINFRA</v>
      </c>
      <c r="D23" s="163">
        <f>VLOOKUP(B23,'MEMÓRIA DE CÁLCULO'!$B:$J,3,)</f>
        <v>40101</v>
      </c>
      <c r="E23" s="164" t="str">
        <f>VLOOKUP(B23,'MEMÓRIA DE CÁLCULO'!$B:$J,5,)</f>
        <v>ESCAVACAO MANUAL DE VALAS &lt; 1 MTS. (OBRAS CIVIS)</v>
      </c>
      <c r="F23" s="163" t="str">
        <f>VLOOKUP(B23,'MEMÓRIA DE CÁLCULO'!$B:$J,6,)</f>
        <v>m³</v>
      </c>
      <c r="G23" s="165">
        <f>VLOOKUP(B23,'MEMÓRIA DE CÁLCULO'!$B:$J,9,)</f>
        <v>3.129</v>
      </c>
      <c r="H23" s="176"/>
      <c r="I23" s="176"/>
      <c r="J23" s="173"/>
    </row>
    <row r="24" spans="1:12" ht="15.75" x14ac:dyDescent="0.25">
      <c r="B24" s="289" t="s">
        <v>138</v>
      </c>
      <c r="C24" s="290"/>
      <c r="D24" s="290"/>
      <c r="E24" s="290"/>
      <c r="F24" s="290"/>
      <c r="G24" s="290"/>
      <c r="H24" s="290"/>
      <c r="I24" s="290"/>
      <c r="J24" s="175">
        <f>SUM(J25:J26)</f>
        <v>0</v>
      </c>
    </row>
    <row r="25" spans="1:12" ht="15" x14ac:dyDescent="0.25">
      <c r="B25" s="162" t="s">
        <v>212</v>
      </c>
      <c r="C25" s="163" t="str">
        <f>VLOOKUP(B25,'MEMÓRIA DE CÁLCULO'!$B:$J,2,)</f>
        <v>GOINFRA</v>
      </c>
      <c r="D25" s="163">
        <f>VLOOKUP(B25,'MEMÓRIA DE CÁLCULO'!$B:$J,3,)</f>
        <v>41002</v>
      </c>
      <c r="E25" s="164" t="str">
        <f>VLOOKUP(B25,'MEMÓRIA DE CÁLCULO'!$B:$J,5,)</f>
        <v>APILOAMENTO</v>
      </c>
      <c r="F25" s="163" t="str">
        <f>VLOOKUP(B25,'MEMÓRIA DE CÁLCULO'!$B:$J,6,)</f>
        <v>m²</v>
      </c>
      <c r="G25" s="165">
        <f>VLOOKUP(B25,'MEMÓRIA DE CÁLCULO'!$B:$J,9,)</f>
        <v>5.76</v>
      </c>
      <c r="H25" s="176"/>
      <c r="I25" s="176"/>
      <c r="J25" s="173"/>
    </row>
    <row r="26" spans="1:12" ht="15" x14ac:dyDescent="0.25">
      <c r="B26" s="162" t="s">
        <v>184</v>
      </c>
      <c r="C26" s="163" t="str">
        <f>VLOOKUP(B26,'MEMÓRIA DE CÁLCULO'!$B:$J,2,)</f>
        <v>GOINFRA</v>
      </c>
      <c r="D26" s="163">
        <f>VLOOKUP(B26,'MEMÓRIA DE CÁLCULO'!$B:$J,3,)</f>
        <v>40101</v>
      </c>
      <c r="E26" s="164" t="str">
        <f>VLOOKUP(B26,'MEMÓRIA DE CÁLCULO'!$B:$J,5,)</f>
        <v>ESCAVACAO MANUAL DE VALAS &lt; 1 MTS. (OBRAS CIVIS)</v>
      </c>
      <c r="F26" s="163" t="str">
        <f>VLOOKUP(B26,'MEMÓRIA DE CÁLCULO'!$B:$J,6,)</f>
        <v>m³</v>
      </c>
      <c r="G26" s="165">
        <f>VLOOKUP(B26,'MEMÓRIA DE CÁLCULO'!$B:$J,9,)</f>
        <v>2.3039999999999998</v>
      </c>
      <c r="H26" s="176"/>
      <c r="I26" s="176"/>
      <c r="J26" s="173"/>
    </row>
    <row r="27" spans="1:12" ht="15.75" x14ac:dyDescent="0.25">
      <c r="B27" s="289" t="s">
        <v>220</v>
      </c>
      <c r="C27" s="290"/>
      <c r="D27" s="290"/>
      <c r="E27" s="290"/>
      <c r="F27" s="290"/>
      <c r="G27" s="290"/>
      <c r="H27" s="290"/>
      <c r="I27" s="290"/>
      <c r="J27" s="175">
        <f>SUM(J28:J29)</f>
        <v>0</v>
      </c>
    </row>
    <row r="28" spans="1:12" ht="15" x14ac:dyDescent="0.25">
      <c r="B28" s="162" t="s">
        <v>218</v>
      </c>
      <c r="C28" s="163" t="str">
        <f>VLOOKUP(B28,'MEMÓRIA DE CÁLCULO'!$B:$J,2,)</f>
        <v>GOINFRA</v>
      </c>
      <c r="D28" s="163">
        <f>VLOOKUP(B28,'MEMÓRIA DE CÁLCULO'!$B:$J,3,)</f>
        <v>41004</v>
      </c>
      <c r="E28" s="164" t="str">
        <f>VLOOKUP(B28,'MEMÓRIA DE CÁLCULO'!$B:$J,5,)</f>
        <v>ESCAVACAO MECANICA</v>
      </c>
      <c r="F28" s="163" t="str">
        <f>VLOOKUP(B28,'MEMÓRIA DE CÁLCULO'!$B:$J,6,)</f>
        <v>m³</v>
      </c>
      <c r="G28" s="165">
        <f>VLOOKUP(B28,'MEMÓRIA DE CÁLCULO'!$B:$J,9,)</f>
        <v>197</v>
      </c>
      <c r="H28" s="176"/>
      <c r="I28" s="176"/>
      <c r="J28" s="173"/>
      <c r="K28" s="152"/>
    </row>
    <row r="29" spans="1:12" ht="15" x14ac:dyDescent="0.25">
      <c r="B29" s="162" t="s">
        <v>222</v>
      </c>
      <c r="C29" s="163" t="str">
        <f>VLOOKUP(B29,'MEMÓRIA DE CÁLCULO'!$B:$J,2,)</f>
        <v>GOINFRA</v>
      </c>
      <c r="D29" s="163">
        <f>VLOOKUP(B29,'MEMÓRIA DE CÁLCULO'!$B:$J,3,)</f>
        <v>40902</v>
      </c>
      <c r="E29" s="164" t="str">
        <f>VLOOKUP(B29,'MEMÓRIA DE CÁLCULO'!$B:$J,5,)</f>
        <v>REATERRO COM APILOAMENTO</v>
      </c>
      <c r="F29" s="163" t="str">
        <f>VLOOKUP(B29,'MEMÓRIA DE CÁLCULO'!$B:$J,6,)</f>
        <v>m³</v>
      </c>
      <c r="G29" s="165">
        <f>VLOOKUP(B29,'MEMÓRIA DE CÁLCULO'!$B:$J,9,)</f>
        <v>197</v>
      </c>
      <c r="H29" s="176"/>
      <c r="I29" s="176"/>
      <c r="J29" s="173"/>
      <c r="K29" s="152"/>
    </row>
    <row r="30" spans="1:12" ht="15" x14ac:dyDescent="0.25">
      <c r="B30" s="150"/>
      <c r="C30" s="151"/>
      <c r="D30" s="151"/>
      <c r="E30" s="151"/>
      <c r="F30" s="151"/>
      <c r="G30" s="151"/>
      <c r="H30" s="151"/>
      <c r="I30" s="151"/>
      <c r="J30" s="177"/>
      <c r="K30" s="152"/>
    </row>
    <row r="31" spans="1:12" s="35" customFormat="1" ht="18" customHeight="1" x14ac:dyDescent="0.25">
      <c r="A31" s="139"/>
      <c r="B31" s="234" t="s">
        <v>54</v>
      </c>
      <c r="C31" s="235"/>
      <c r="D31" s="235"/>
      <c r="E31" s="235"/>
      <c r="F31" s="235"/>
      <c r="G31" s="235"/>
      <c r="H31" s="235"/>
      <c r="I31" s="235"/>
      <c r="J31" s="178">
        <f>SUM(J33,J35,J41,)</f>
        <v>0</v>
      </c>
      <c r="K31" s="140"/>
      <c r="L31" s="139"/>
    </row>
    <row r="32" spans="1:12" s="35" customFormat="1" ht="15.75" x14ac:dyDescent="0.25">
      <c r="A32" s="139"/>
      <c r="B32" s="161">
        <v>4</v>
      </c>
      <c r="C32" s="297" t="s">
        <v>28</v>
      </c>
      <c r="D32" s="297"/>
      <c r="E32" s="297"/>
      <c r="F32" s="297"/>
      <c r="G32" s="297"/>
      <c r="H32" s="297"/>
      <c r="I32" s="297"/>
      <c r="J32" s="298"/>
      <c r="K32" s="140"/>
      <c r="L32" s="139"/>
    </row>
    <row r="33" spans="1:12" s="35" customFormat="1" ht="15.75" x14ac:dyDescent="0.25">
      <c r="A33" s="139"/>
      <c r="B33" s="289" t="s">
        <v>137</v>
      </c>
      <c r="C33" s="290"/>
      <c r="D33" s="290"/>
      <c r="E33" s="290"/>
      <c r="F33" s="290"/>
      <c r="G33" s="290"/>
      <c r="H33" s="290"/>
      <c r="I33" s="290"/>
      <c r="J33" s="175">
        <f>J34</f>
        <v>0</v>
      </c>
      <c r="K33" s="140"/>
      <c r="L33" s="139"/>
    </row>
    <row r="34" spans="1:12" s="35" customFormat="1" ht="15" x14ac:dyDescent="0.25">
      <c r="A34" s="139"/>
      <c r="B34" s="162" t="s">
        <v>29</v>
      </c>
      <c r="C34" s="163" t="str">
        <f>VLOOKUP(B34,'MEMÓRIA DE CÁLCULO'!$B:$J,2,)</f>
        <v>GOINFRA</v>
      </c>
      <c r="D34" s="163">
        <f>VLOOKUP(B34,'MEMÓRIA DE CÁLCULO'!$B:$J,3,)</f>
        <v>60470</v>
      </c>
      <c r="E34" s="164" t="str">
        <f>VLOOKUP(B34,'MEMÓRIA DE CÁLCULO'!$B:$J,5,)</f>
        <v>LASTRO DE BRITA - (OBRAS CIVIS) - 2 vezes</v>
      </c>
      <c r="F34" s="163" t="str">
        <f>VLOOKUP(B34,'MEMÓRIA DE CÁLCULO'!$B:$J,6,)</f>
        <v>m³</v>
      </c>
      <c r="G34" s="165">
        <f>VLOOKUP(B34,'MEMÓRIA DE CÁLCULO'!$B:$J,9,)</f>
        <v>27.58</v>
      </c>
      <c r="H34" s="176"/>
      <c r="I34" s="176"/>
      <c r="J34" s="173"/>
      <c r="K34" s="140"/>
      <c r="L34" s="139"/>
    </row>
    <row r="35" spans="1:12" s="35" customFormat="1" ht="15.75" x14ac:dyDescent="0.25">
      <c r="A35" s="139"/>
      <c r="B35" s="289" t="s">
        <v>23</v>
      </c>
      <c r="C35" s="290"/>
      <c r="D35" s="290"/>
      <c r="E35" s="290"/>
      <c r="F35" s="290"/>
      <c r="G35" s="290"/>
      <c r="H35" s="290"/>
      <c r="I35" s="290"/>
      <c r="J35" s="175">
        <f>SUM(J36:J40)</f>
        <v>0</v>
      </c>
      <c r="K35" s="140"/>
      <c r="L35" s="139"/>
    </row>
    <row r="36" spans="1:12" s="35" customFormat="1" ht="15" x14ac:dyDescent="0.25">
      <c r="A36" s="139"/>
      <c r="B36" s="162" t="s">
        <v>185</v>
      </c>
      <c r="C36" s="163" t="str">
        <f>VLOOKUP(B36,'MEMÓRIA DE CÁLCULO'!$B:$J,2,)</f>
        <v>GOINFRA</v>
      </c>
      <c r="D36" s="163">
        <f>VLOOKUP(B36,'MEMÓRIA DE CÁLCULO'!$B:$J,3,)</f>
        <v>50302</v>
      </c>
      <c r="E36" s="164" t="str">
        <f>VLOOKUP(B36,'MEMÓRIA DE CÁLCULO'!$B:$J,5,)</f>
        <v>ESTACA A TRADO DIAM.30 CM SEM FERRO</v>
      </c>
      <c r="F36" s="163" t="str">
        <f>VLOOKUP(B36,'MEMÓRIA DE CÁLCULO'!$B:$J,6,)</f>
        <v>m</v>
      </c>
      <c r="G36" s="165">
        <f>VLOOKUP(B36,'MEMÓRIA DE CÁLCULO'!$B:$J,9,)</f>
        <v>48</v>
      </c>
      <c r="H36" s="176"/>
      <c r="I36" s="176"/>
      <c r="J36" s="173"/>
      <c r="K36" s="140"/>
      <c r="L36" s="139"/>
    </row>
    <row r="37" spans="1:12" s="35" customFormat="1" ht="15" x14ac:dyDescent="0.25">
      <c r="A37" s="139"/>
      <c r="B37" s="162" t="s">
        <v>186</v>
      </c>
      <c r="C37" s="163" t="str">
        <f>VLOOKUP(B37,'MEMÓRIA DE CÁLCULO'!$B:$J,2,)</f>
        <v>GOINFRA</v>
      </c>
      <c r="D37" s="163">
        <f>VLOOKUP(B37,'MEMÓRIA DE CÁLCULO'!$B:$J,3,)</f>
        <v>52005</v>
      </c>
      <c r="E37" s="164" t="str">
        <f>VLOOKUP(B37,'MEMÓRIA DE CÁLCULO'!$B:$J,5,)</f>
        <v>ACO CA-50A - 10,0 MM (3/8") - (OBRAS CIVIS)</v>
      </c>
      <c r="F37" s="163" t="str">
        <f>VLOOKUP(B37,'MEMÓRIA DE CÁLCULO'!$B:$J,6,)</f>
        <v>kg</v>
      </c>
      <c r="G37" s="165">
        <f>VLOOKUP(B37,'MEMÓRIA DE CÁLCULO'!$B:$J,9,)</f>
        <v>181.44</v>
      </c>
      <c r="H37" s="176"/>
      <c r="I37" s="176"/>
      <c r="J37" s="173"/>
      <c r="K37" s="140"/>
      <c r="L37" s="139"/>
    </row>
    <row r="38" spans="1:12" s="35" customFormat="1" ht="15" x14ac:dyDescent="0.25">
      <c r="A38" s="139"/>
      <c r="B38" s="162" t="s">
        <v>187</v>
      </c>
      <c r="C38" s="163" t="str">
        <f>VLOOKUP(B38,'MEMÓRIA DE CÁLCULO'!$B:$J,2,)</f>
        <v>GOINFRA</v>
      </c>
      <c r="D38" s="163">
        <f>VLOOKUP(B38,'MEMÓRIA DE CÁLCULO'!$B:$J,3,)</f>
        <v>52014</v>
      </c>
      <c r="E38" s="164" t="str">
        <f>VLOOKUP(B38,'MEMÓRIA DE CÁLCULO'!$B:$J,5,)</f>
        <v>ACO CA-60 - 5,0 MM - (OBRAS CIVIS)</v>
      </c>
      <c r="F38" s="163" t="str">
        <f>VLOOKUP(B38,'MEMÓRIA DE CÁLCULO'!$B:$J,6,)</f>
        <v>kg</v>
      </c>
      <c r="G38" s="165">
        <f>VLOOKUP(B38,'MEMÓRIA DE CÁLCULO'!$B:$J,9,)</f>
        <v>37.606399999999994</v>
      </c>
      <c r="H38" s="176"/>
      <c r="I38" s="176"/>
      <c r="J38" s="173"/>
      <c r="K38" s="140"/>
      <c r="L38" s="139"/>
    </row>
    <row r="39" spans="1:12" s="35" customFormat="1" ht="15" x14ac:dyDescent="0.25">
      <c r="A39" s="139"/>
      <c r="B39" s="162" t="s">
        <v>188</v>
      </c>
      <c r="C39" s="163" t="str">
        <f>VLOOKUP(B39,'MEMÓRIA DE CÁLCULO'!$B:$J,2,)</f>
        <v>GOINFRA</v>
      </c>
      <c r="D39" s="163">
        <f>VLOOKUP(B39,'MEMÓRIA DE CÁLCULO'!$B:$J,3,)</f>
        <v>51029</v>
      </c>
      <c r="E39" s="164" t="str">
        <f>VLOOKUP(B39,'MEMÓRIA DE CÁLCULO'!$B:$J,5,)</f>
        <v>PREPARO COM BETONEIRA E TRANSPORTE MANUAL DE CONCRETO FCK=30 MPA</v>
      </c>
      <c r="F39" s="163" t="str">
        <f>VLOOKUP(B39,'MEMÓRIA DE CÁLCULO'!$B:$J,6,)</f>
        <v>m³</v>
      </c>
      <c r="G39" s="165">
        <f>VLOOKUP(B39,'MEMÓRIA DE CÁLCULO'!$B:$J,9,)</f>
        <v>3.3912000000000004</v>
      </c>
      <c r="H39" s="176"/>
      <c r="I39" s="176"/>
      <c r="J39" s="173"/>
      <c r="K39" s="140"/>
      <c r="L39" s="139"/>
    </row>
    <row r="40" spans="1:12" s="35" customFormat="1" ht="15" x14ac:dyDescent="0.25">
      <c r="A40" s="139"/>
      <c r="B40" s="162" t="s">
        <v>189</v>
      </c>
      <c r="C40" s="163" t="str">
        <f>VLOOKUP(B40,'MEMÓRIA DE CÁLCULO'!$B:$J,2,)</f>
        <v>GOINFRA</v>
      </c>
      <c r="D40" s="163">
        <f>VLOOKUP(B40,'MEMÓRIA DE CÁLCULO'!$B:$J,3,)</f>
        <v>51055</v>
      </c>
      <c r="E40" s="164" t="str">
        <f>VLOOKUP(B40,'MEMÓRIA DE CÁLCULO'!$B:$J,5,)</f>
        <v>LANÇAMENTO/APLICAÇÃO/ADENSAMENTO MANUAL DE CONCRETO - (O.C.)</v>
      </c>
      <c r="F40" s="163" t="str">
        <f>VLOOKUP(B40,'MEMÓRIA DE CÁLCULO'!$B:$J,6,)</f>
        <v>m³</v>
      </c>
      <c r="G40" s="165">
        <f>VLOOKUP(B40,'MEMÓRIA DE CÁLCULO'!$B:$J,9,)</f>
        <v>3.3912000000000004</v>
      </c>
      <c r="H40" s="176"/>
      <c r="I40" s="176"/>
      <c r="J40" s="173"/>
      <c r="K40" s="140"/>
      <c r="L40" s="139"/>
    </row>
    <row r="41" spans="1:12" s="35" customFormat="1" ht="15.75" x14ac:dyDescent="0.25">
      <c r="A41" s="139"/>
      <c r="B41" s="289" t="s">
        <v>138</v>
      </c>
      <c r="C41" s="290"/>
      <c r="D41" s="290"/>
      <c r="E41" s="290"/>
      <c r="F41" s="290"/>
      <c r="G41" s="290"/>
      <c r="H41" s="290"/>
      <c r="I41" s="290"/>
      <c r="J41" s="175">
        <f>SUM(J42:J46)</f>
        <v>0</v>
      </c>
      <c r="K41" s="140"/>
      <c r="L41" s="139"/>
    </row>
    <row r="42" spans="1:12" s="35" customFormat="1" ht="15" x14ac:dyDescent="0.25">
      <c r="A42" s="139"/>
      <c r="B42" s="162" t="s">
        <v>190</v>
      </c>
      <c r="C42" s="163" t="str">
        <f>VLOOKUP(B42,'MEMÓRIA DE CÁLCULO'!$B:$J,2,)</f>
        <v>GOINFRA</v>
      </c>
      <c r="D42" s="163">
        <f>VLOOKUP(B42,'MEMÓRIA DE CÁLCULO'!$B:$J,3,)</f>
        <v>51009</v>
      </c>
      <c r="E42" s="164" t="str">
        <f>VLOOKUP(B42,'MEMÓRIA DE CÁLCULO'!$B:$J,5,)</f>
        <v>FORMA TABUA PINHO P/FUNDACOES U=3V - (OBRAS CIVIS)</v>
      </c>
      <c r="F42" s="163" t="str">
        <f>VLOOKUP(B42,'MEMÓRIA DE CÁLCULO'!$B:$J,6,)</f>
        <v>m²</v>
      </c>
      <c r="G42" s="165">
        <f>VLOOKUP(B42,'MEMÓRIA DE CÁLCULO'!$B:$J,9,)</f>
        <v>15.36</v>
      </c>
      <c r="H42" s="176"/>
      <c r="I42" s="176"/>
      <c r="J42" s="173"/>
      <c r="K42" s="140"/>
      <c r="L42" s="139"/>
    </row>
    <row r="43" spans="1:12" s="35" customFormat="1" ht="15" x14ac:dyDescent="0.25">
      <c r="A43" s="139"/>
      <c r="B43" s="162" t="s">
        <v>191</v>
      </c>
      <c r="C43" s="163" t="str">
        <f>VLOOKUP(B43,'MEMÓRIA DE CÁLCULO'!$B:$J,2,)</f>
        <v>GOINFRA</v>
      </c>
      <c r="D43" s="163">
        <f>VLOOKUP(B43,'MEMÓRIA DE CÁLCULO'!$B:$J,3,)</f>
        <v>52005</v>
      </c>
      <c r="E43" s="164" t="str">
        <f>VLOOKUP(B43,'MEMÓRIA DE CÁLCULO'!$B:$J,5,)</f>
        <v>ACO CA-50A - 10,0 MM (3/8") - (OBRAS CIVIS)</v>
      </c>
      <c r="F43" s="163" t="str">
        <f>VLOOKUP(B43,'MEMÓRIA DE CÁLCULO'!$B:$J,6,)</f>
        <v>kg</v>
      </c>
      <c r="G43" s="165">
        <f>VLOOKUP(B43,'MEMÓRIA DE CÁLCULO'!$B:$J,9,)</f>
        <v>22.400000000000002</v>
      </c>
      <c r="H43" s="176"/>
      <c r="I43" s="176"/>
      <c r="J43" s="173"/>
      <c r="K43" s="140"/>
      <c r="L43" s="139"/>
    </row>
    <row r="44" spans="1:12" s="35" customFormat="1" ht="15" x14ac:dyDescent="0.25">
      <c r="A44" s="139"/>
      <c r="B44" s="162" t="s">
        <v>192</v>
      </c>
      <c r="C44" s="163" t="str">
        <f>VLOOKUP(B44,'MEMÓRIA DE CÁLCULO'!$B:$J,2,)</f>
        <v>GOINFRA</v>
      </c>
      <c r="D44" s="163">
        <f>VLOOKUP(B44,'MEMÓRIA DE CÁLCULO'!$B:$J,3,)</f>
        <v>52014</v>
      </c>
      <c r="E44" s="164" t="str">
        <f>VLOOKUP(B44,'MEMÓRIA DE CÁLCULO'!$B:$J,5,)</f>
        <v>ACO CA-60 - 5,0 MM - (OBRAS CIVIS)</v>
      </c>
      <c r="F44" s="163" t="str">
        <f>VLOOKUP(B44,'MEMÓRIA DE CÁLCULO'!$B:$J,6,)</f>
        <v>kg</v>
      </c>
      <c r="G44" s="165">
        <f>VLOOKUP(B44,'MEMÓRIA DE CÁLCULO'!$B:$J,9,)</f>
        <v>38.527999999999999</v>
      </c>
      <c r="H44" s="176"/>
      <c r="I44" s="176"/>
      <c r="J44" s="173"/>
      <c r="K44" s="140"/>
      <c r="L44" s="139"/>
    </row>
    <row r="45" spans="1:12" s="35" customFormat="1" ht="15" x14ac:dyDescent="0.25">
      <c r="A45" s="139"/>
      <c r="B45" s="162" t="s">
        <v>193</v>
      </c>
      <c r="C45" s="163" t="str">
        <f>VLOOKUP(B45,'MEMÓRIA DE CÁLCULO'!$B:$J,2,)</f>
        <v>GOINFRA</v>
      </c>
      <c r="D45" s="163">
        <f>VLOOKUP(B45,'MEMÓRIA DE CÁLCULO'!$B:$J,3,)</f>
        <v>51029</v>
      </c>
      <c r="E45" s="164" t="str">
        <f>VLOOKUP(B45,'MEMÓRIA DE CÁLCULO'!$B:$J,5,)</f>
        <v>PREPARO COM BETONEIRA E TRANSPORTE MANUAL DE CONCRETO FCK=30 MPA</v>
      </c>
      <c r="F45" s="163" t="str">
        <f>VLOOKUP(B45,'MEMÓRIA DE CÁLCULO'!$B:$J,6,)</f>
        <v>m³</v>
      </c>
      <c r="G45" s="165">
        <f>VLOOKUP(B45,'MEMÓRIA DE CÁLCULO'!$B:$J,9,)</f>
        <v>2.3039999999999998</v>
      </c>
      <c r="H45" s="176"/>
      <c r="I45" s="176"/>
      <c r="J45" s="173"/>
      <c r="K45" s="140"/>
      <c r="L45" s="139"/>
    </row>
    <row r="46" spans="1:12" s="35" customFormat="1" ht="15" x14ac:dyDescent="0.25">
      <c r="A46" s="139"/>
      <c r="B46" s="162" t="s">
        <v>194</v>
      </c>
      <c r="C46" s="163" t="str">
        <f>VLOOKUP(B46,'MEMÓRIA DE CÁLCULO'!$B:$J,2,)</f>
        <v>GOINFRA</v>
      </c>
      <c r="D46" s="163">
        <f>VLOOKUP(B46,'MEMÓRIA DE CÁLCULO'!$B:$J,3,)</f>
        <v>51055</v>
      </c>
      <c r="E46" s="164" t="str">
        <f>VLOOKUP(B46,'MEMÓRIA DE CÁLCULO'!$B:$J,5,)</f>
        <v>LANÇAMENTO/APLICAÇÃO/ADENSAMENTO MANUAL DE CONCRETO - (O.C.)</v>
      </c>
      <c r="F46" s="163" t="str">
        <f>VLOOKUP(B46,'MEMÓRIA DE CÁLCULO'!$B:$J,6,)</f>
        <v>m³</v>
      </c>
      <c r="G46" s="165">
        <f>VLOOKUP(B46,'MEMÓRIA DE CÁLCULO'!$B:$J,9,)</f>
        <v>2.3039999999999998</v>
      </c>
      <c r="H46" s="176"/>
      <c r="I46" s="176"/>
      <c r="J46" s="173"/>
      <c r="K46" s="140"/>
      <c r="L46" s="139"/>
    </row>
    <row r="47" spans="1:12" s="35" customFormat="1" ht="15" x14ac:dyDescent="0.25">
      <c r="A47" s="139"/>
      <c r="B47" s="150"/>
      <c r="C47" s="179"/>
      <c r="D47" s="179"/>
      <c r="E47" s="180"/>
      <c r="F47" s="179"/>
      <c r="G47" s="181"/>
      <c r="H47" s="182"/>
      <c r="I47" s="182"/>
      <c r="J47" s="183"/>
      <c r="K47" s="140"/>
      <c r="L47" s="139"/>
    </row>
    <row r="48" spans="1:12" s="35" customFormat="1" ht="15.75" x14ac:dyDescent="0.25">
      <c r="A48" s="139"/>
      <c r="B48" s="234" t="s">
        <v>115</v>
      </c>
      <c r="C48" s="235"/>
      <c r="D48" s="235"/>
      <c r="E48" s="235"/>
      <c r="F48" s="235"/>
      <c r="G48" s="235"/>
      <c r="H48" s="235"/>
      <c r="I48" s="235"/>
      <c r="J48" s="178">
        <f>SUM(J50,J51,J57,J63,J65)</f>
        <v>0</v>
      </c>
      <c r="K48" s="140"/>
      <c r="L48" s="139"/>
    </row>
    <row r="49" spans="1:12" s="35" customFormat="1" ht="15.75" x14ac:dyDescent="0.25">
      <c r="A49" s="139"/>
      <c r="B49" s="161">
        <v>5</v>
      </c>
      <c r="C49" s="297" t="s">
        <v>96</v>
      </c>
      <c r="D49" s="297"/>
      <c r="E49" s="297"/>
      <c r="F49" s="297"/>
      <c r="G49" s="297"/>
      <c r="H49" s="297"/>
      <c r="I49" s="297"/>
      <c r="J49" s="298"/>
      <c r="K49" s="140"/>
      <c r="L49" s="139"/>
    </row>
    <row r="50" spans="1:12" s="35" customFormat="1" ht="30" x14ac:dyDescent="0.25">
      <c r="A50" s="139"/>
      <c r="B50" s="162" t="s">
        <v>32</v>
      </c>
      <c r="C50" s="163" t="str">
        <f>VLOOKUP(B50,'MEMÓRIA DE CÁLCULO'!$B:$J,2,)</f>
        <v>GOINFRA</v>
      </c>
      <c r="D50" s="163">
        <f>VLOOKUP(B50,'MEMÓRIA DE CÁLCULO'!$B:$J,3,)</f>
        <v>61130</v>
      </c>
      <c r="E50" s="184" t="str">
        <f>VLOOKUP(B50,'MEMÓRIA DE CÁLCULO'!$B:$J,5,)</f>
        <v>MURO ARRIMO PADRÃO GOINFRA EM CANALETA SEM REVESTIMENTO-(COM ALTURA ATÉ 2 ,50M)-INCLUSO FUNDAÇÃO</v>
      </c>
      <c r="F50" s="163" t="str">
        <f>VLOOKUP(B50,'MEMÓRIA DE CÁLCULO'!$B:$J,6,)</f>
        <v>m²</v>
      </c>
      <c r="G50" s="165">
        <f>VLOOKUP(B50,'MEMÓRIA DE CÁLCULO'!$B:$J,9,)</f>
        <v>98.12</v>
      </c>
      <c r="H50" s="176"/>
      <c r="I50" s="176"/>
      <c r="J50" s="173"/>
      <c r="K50" s="140"/>
      <c r="L50" s="139"/>
    </row>
    <row r="51" spans="1:12" s="35" customFormat="1" ht="15.75" x14ac:dyDescent="0.25">
      <c r="A51" s="139"/>
      <c r="B51" s="289" t="s">
        <v>134</v>
      </c>
      <c r="C51" s="290"/>
      <c r="D51" s="290"/>
      <c r="E51" s="290"/>
      <c r="F51" s="290"/>
      <c r="G51" s="290"/>
      <c r="H51" s="290"/>
      <c r="I51" s="290"/>
      <c r="J51" s="175">
        <f>SUM(J52:J56)</f>
        <v>0</v>
      </c>
      <c r="K51" s="140"/>
      <c r="L51" s="139"/>
    </row>
    <row r="52" spans="1:12" s="35" customFormat="1" ht="15" x14ac:dyDescent="0.25">
      <c r="A52" s="139"/>
      <c r="B52" s="162" t="s">
        <v>195</v>
      </c>
      <c r="C52" s="163" t="str">
        <f>VLOOKUP(B52,'MEMÓRIA DE CÁLCULO'!$B:$J,2,)</f>
        <v>GOINFRA</v>
      </c>
      <c r="D52" s="163">
        <f>VLOOKUP(B52,'MEMÓRIA DE CÁLCULO'!$B:$J,3,)</f>
        <v>60209</v>
      </c>
      <c r="E52" s="184" t="str">
        <f>VLOOKUP(B52,'MEMÓRIA DE CÁLCULO'!$B:$J,5,)</f>
        <v>FORMA CH.COMPENSADA 12MM-VIGA/PILAR U=4V - (OBRAS CIVIS</v>
      </c>
      <c r="F52" s="163" t="str">
        <f>VLOOKUP(B52,'MEMÓRIA DE CÁLCULO'!$B:$J,6,)</f>
        <v>m²</v>
      </c>
      <c r="G52" s="165">
        <f>VLOOKUP(B52,'MEMÓRIA DE CÁLCULO'!$B:$J,9,)</f>
        <v>31.22</v>
      </c>
      <c r="H52" s="176"/>
      <c r="I52" s="176"/>
      <c r="J52" s="173"/>
      <c r="K52" s="140"/>
      <c r="L52" s="139"/>
    </row>
    <row r="53" spans="1:12" s="35" customFormat="1" ht="15" x14ac:dyDescent="0.25">
      <c r="A53" s="139"/>
      <c r="B53" s="162" t="s">
        <v>196</v>
      </c>
      <c r="C53" s="163" t="str">
        <f>VLOOKUP(B53,'MEMÓRIA DE CÁLCULO'!$B:$J,2,)</f>
        <v>GOINFRA</v>
      </c>
      <c r="D53" s="163">
        <f>VLOOKUP(B53,'MEMÓRIA DE CÁLCULO'!$B:$J,3,)</f>
        <v>60304</v>
      </c>
      <c r="E53" s="184" t="str">
        <f>VLOOKUP(B53,'MEMÓRIA DE CÁLCULO'!$B:$J,5,)</f>
        <v>ACO CA 50-A - 8,0 MM (5/16") - (OBRAS CIVIS)</v>
      </c>
      <c r="F53" s="163" t="str">
        <f>VLOOKUP(B53,'MEMÓRIA DE CÁLCULO'!$B:$J,6,)</f>
        <v>kg</v>
      </c>
      <c r="G53" s="165">
        <f>VLOOKUP(B53,'MEMÓRIA DE CÁLCULO'!$B:$J,9,)</f>
        <v>35.552000000000007</v>
      </c>
      <c r="H53" s="176"/>
      <c r="I53" s="176"/>
      <c r="J53" s="173"/>
      <c r="K53" s="140"/>
      <c r="L53" s="139"/>
    </row>
    <row r="54" spans="1:12" s="35" customFormat="1" ht="15" x14ac:dyDescent="0.25">
      <c r="A54" s="139"/>
      <c r="B54" s="162" t="s">
        <v>197</v>
      </c>
      <c r="C54" s="163" t="str">
        <f>VLOOKUP(B54,'MEMÓRIA DE CÁLCULO'!$B:$J,2,)</f>
        <v>GOINFRA</v>
      </c>
      <c r="D54" s="163">
        <f>VLOOKUP(B54,'MEMÓRIA DE CÁLCULO'!$B:$J,3,)</f>
        <v>60314</v>
      </c>
      <c r="E54" s="184" t="str">
        <f>VLOOKUP(B54,'MEMÓRIA DE CÁLCULO'!$B:$J,5,)</f>
        <v>ACO CA-60 - 5,0 MM - (OBRAS CIVIS)</v>
      </c>
      <c r="F54" s="163" t="str">
        <f>VLOOKUP(B54,'MEMÓRIA DE CÁLCULO'!$B:$J,6,)</f>
        <v>kg</v>
      </c>
      <c r="G54" s="165">
        <f>VLOOKUP(B54,'MEMÓRIA DE CÁLCULO'!$B:$J,9,)</f>
        <v>380.92799999999994</v>
      </c>
      <c r="H54" s="176"/>
      <c r="I54" s="176"/>
      <c r="J54" s="173"/>
      <c r="K54" s="140"/>
      <c r="L54" s="139"/>
    </row>
    <row r="55" spans="1:12" s="35" customFormat="1" ht="30" x14ac:dyDescent="0.25">
      <c r="A55" s="139"/>
      <c r="B55" s="162" t="s">
        <v>198</v>
      </c>
      <c r="C55" s="163" t="str">
        <f>VLOOKUP(B55,'MEMÓRIA DE CÁLCULO'!$B:$J,2,)</f>
        <v>GOINFRA</v>
      </c>
      <c r="D55" s="163">
        <f>VLOOKUP(B55,'MEMÓRIA DE CÁLCULO'!$B:$J,3,)</f>
        <v>60518</v>
      </c>
      <c r="E55" s="184" t="str">
        <f>VLOOKUP(B55,'MEMÓRIA DE CÁLCULO'!$B:$J,5,)</f>
        <v>PREPARO COM BETONEIRA E TRANSPORTE MANUAL DE CONCRETO FCK=30 MPA</v>
      </c>
      <c r="F55" s="163" t="str">
        <f>VLOOKUP(B55,'MEMÓRIA DE CÁLCULO'!$B:$J,6,)</f>
        <v>m³</v>
      </c>
      <c r="G55" s="165">
        <f>VLOOKUP(B55,'MEMÓRIA DE CÁLCULO'!$B:$J,9,)</f>
        <v>3.9016249999999997</v>
      </c>
      <c r="H55" s="176"/>
      <c r="I55" s="176"/>
      <c r="J55" s="173"/>
      <c r="K55" s="140"/>
      <c r="L55" s="139"/>
    </row>
    <row r="56" spans="1:12" s="35" customFormat="1" ht="15" x14ac:dyDescent="0.25">
      <c r="A56" s="139"/>
      <c r="B56" s="162" t="s">
        <v>199</v>
      </c>
      <c r="C56" s="163" t="str">
        <f>VLOOKUP(B56,'MEMÓRIA DE CÁLCULO'!$B:$J,2,)</f>
        <v>GOINFRA</v>
      </c>
      <c r="D56" s="163">
        <f>VLOOKUP(B56,'MEMÓRIA DE CÁLCULO'!$B:$J,3,)</f>
        <v>60801</v>
      </c>
      <c r="E56" s="184" t="str">
        <f>VLOOKUP(B56,'MEMÓRIA DE CÁLCULO'!$B:$J,5,)</f>
        <v>LANÇAMENTO/APLICAÇÃO/ADENSAMENTO MANUAL DE CONCRETO - (O.C.)</v>
      </c>
      <c r="F56" s="163" t="str">
        <f>VLOOKUP(B56,'MEMÓRIA DE CÁLCULO'!$B:$J,6,)</f>
        <v>m³</v>
      </c>
      <c r="G56" s="165">
        <f>VLOOKUP(B56,'MEMÓRIA DE CÁLCULO'!$B:$J,9,)</f>
        <v>3.9016249999999997</v>
      </c>
      <c r="H56" s="176"/>
      <c r="I56" s="176"/>
      <c r="J56" s="173"/>
      <c r="K56" s="140"/>
      <c r="L56" s="139"/>
    </row>
    <row r="57" spans="1:12" s="35" customFormat="1" ht="15.75" x14ac:dyDescent="0.25">
      <c r="A57" s="139"/>
      <c r="B57" s="289" t="s">
        <v>148</v>
      </c>
      <c r="C57" s="290"/>
      <c r="D57" s="290"/>
      <c r="E57" s="290"/>
      <c r="F57" s="290"/>
      <c r="G57" s="290"/>
      <c r="H57" s="290"/>
      <c r="I57" s="290"/>
      <c r="J57" s="175">
        <f>SUM(J58:J62)</f>
        <v>0</v>
      </c>
      <c r="K57" s="140"/>
      <c r="L57" s="139"/>
    </row>
    <row r="58" spans="1:12" s="35" customFormat="1" ht="15" x14ac:dyDescent="0.25">
      <c r="A58" s="139"/>
      <c r="B58" s="162" t="s">
        <v>200</v>
      </c>
      <c r="C58" s="163" t="str">
        <f>VLOOKUP(B58,'MEMÓRIA DE CÁLCULO'!$B:$J,2,)</f>
        <v>GOINFRA</v>
      </c>
      <c r="D58" s="163">
        <f>VLOOKUP(B58,'MEMÓRIA DE CÁLCULO'!$B:$J,3,)</f>
        <v>60209</v>
      </c>
      <c r="E58" s="184" t="str">
        <f>VLOOKUP(B58,'MEMÓRIA DE CÁLCULO'!$B:$J,5,)</f>
        <v>FORMA CH.COMPENSADA 12MM-VIGA/PILAR U=4V - (OBRAS CIVIS</v>
      </c>
      <c r="F58" s="163" t="str">
        <f>VLOOKUP(B58,'MEMÓRIA DE CÁLCULO'!$B:$J,6,)</f>
        <v>m²</v>
      </c>
      <c r="G58" s="165">
        <f>VLOOKUP(B58,'MEMÓRIA DE CÁLCULO'!$B:$J,9,)</f>
        <v>99.072000000000003</v>
      </c>
      <c r="H58" s="176"/>
      <c r="I58" s="176"/>
      <c r="J58" s="173"/>
      <c r="K58" s="140"/>
      <c r="L58" s="139"/>
    </row>
    <row r="59" spans="1:12" s="35" customFormat="1" ht="15" x14ac:dyDescent="0.25">
      <c r="A59" s="139"/>
      <c r="B59" s="162" t="s">
        <v>201</v>
      </c>
      <c r="C59" s="163" t="str">
        <f>VLOOKUP(B59,'MEMÓRIA DE CÁLCULO'!$B:$J,2,)</f>
        <v>GOINFRA</v>
      </c>
      <c r="D59" s="163">
        <f>VLOOKUP(B59,'MEMÓRIA DE CÁLCULO'!$B:$J,3,)</f>
        <v>60305</v>
      </c>
      <c r="E59" s="184" t="str">
        <f>VLOOKUP(B59,'MEMÓRIA DE CÁLCULO'!$B:$J,5,)</f>
        <v>ACO CA-50A - 10,0 MM (3/8") - (OBRAS CIVIS)</v>
      </c>
      <c r="F59" s="163" t="str">
        <f>VLOOKUP(B59,'MEMÓRIA DE CÁLCULO'!$B:$J,6,)</f>
        <v>kg</v>
      </c>
      <c r="G59" s="165">
        <f>VLOOKUP(B59,'MEMÓRIA DE CÁLCULO'!$B:$J,9,)</f>
        <v>312.07679999999999</v>
      </c>
      <c r="H59" s="176"/>
      <c r="I59" s="176"/>
      <c r="J59" s="173"/>
      <c r="K59" s="140"/>
      <c r="L59" s="139"/>
    </row>
    <row r="60" spans="1:12" s="35" customFormat="1" ht="15" x14ac:dyDescent="0.25">
      <c r="A60" s="139"/>
      <c r="B60" s="162" t="s">
        <v>202</v>
      </c>
      <c r="C60" s="163" t="str">
        <f>VLOOKUP(B60,'MEMÓRIA DE CÁLCULO'!$B:$J,2,)</f>
        <v>GOINFRA</v>
      </c>
      <c r="D60" s="163">
        <f>VLOOKUP(B60,'MEMÓRIA DE CÁLCULO'!$B:$J,3,)</f>
        <v>60314</v>
      </c>
      <c r="E60" s="184" t="str">
        <f>VLOOKUP(B60,'MEMÓRIA DE CÁLCULO'!$B:$J,5,)</f>
        <v>ACO CA-60 - 5,0 MM - (OBRAS CIVIS)</v>
      </c>
      <c r="F60" s="163" t="str">
        <f>VLOOKUP(B60,'MEMÓRIA DE CÁLCULO'!$B:$J,6,)</f>
        <v>kg</v>
      </c>
      <c r="G60" s="165">
        <f>VLOOKUP(B60,'MEMÓRIA DE CÁLCULO'!$B:$J,9,)</f>
        <v>88.473600000000005</v>
      </c>
      <c r="H60" s="176"/>
      <c r="I60" s="176"/>
      <c r="J60" s="173"/>
      <c r="K60" s="140"/>
      <c r="L60" s="139"/>
    </row>
    <row r="61" spans="1:12" s="35" customFormat="1" ht="30" x14ac:dyDescent="0.25">
      <c r="A61" s="139"/>
      <c r="B61" s="162" t="s">
        <v>203</v>
      </c>
      <c r="C61" s="163" t="str">
        <f>VLOOKUP(B61,'MEMÓRIA DE CÁLCULO'!$B:$J,2,)</f>
        <v>GOINFRA</v>
      </c>
      <c r="D61" s="163">
        <f>VLOOKUP(B61,'MEMÓRIA DE CÁLCULO'!$B:$J,3,)</f>
        <v>60518</v>
      </c>
      <c r="E61" s="184" t="str">
        <f>VLOOKUP(B61,'MEMÓRIA DE CÁLCULO'!$B:$J,5,)</f>
        <v>PREPARO COM BETONEIRA E TRANSPORTE MANUAL DE CONCRETO FCK=30 MPA</v>
      </c>
      <c r="F61" s="163" t="str">
        <f>VLOOKUP(B61,'MEMÓRIA DE CÁLCULO'!$B:$J,6,)</f>
        <v>m³</v>
      </c>
      <c r="G61" s="165">
        <f>VLOOKUP(B61,'MEMÓRIA DE CÁLCULO'!$B:$J,9,)</f>
        <v>5.0816000000000017</v>
      </c>
      <c r="H61" s="176"/>
      <c r="I61" s="176"/>
      <c r="J61" s="173"/>
      <c r="K61" s="140"/>
      <c r="L61" s="139"/>
    </row>
    <row r="62" spans="1:12" s="35" customFormat="1" ht="15" x14ac:dyDescent="0.25">
      <c r="A62" s="139"/>
      <c r="B62" s="162" t="s">
        <v>204</v>
      </c>
      <c r="C62" s="163" t="str">
        <f>VLOOKUP(B62,'MEMÓRIA DE CÁLCULO'!$B:$J,2,)</f>
        <v>GOINFRA</v>
      </c>
      <c r="D62" s="163">
        <f>VLOOKUP(B62,'MEMÓRIA DE CÁLCULO'!$B:$J,3,)</f>
        <v>60801</v>
      </c>
      <c r="E62" s="184" t="str">
        <f>VLOOKUP(B62,'MEMÓRIA DE CÁLCULO'!$B:$J,5,)</f>
        <v>LANÇAMENTO/APLICAÇÃO/ADENSAMENTO MANUAL DE CONCRETO - (O.C.)</v>
      </c>
      <c r="F62" s="163" t="str">
        <f>VLOOKUP(B62,'MEMÓRIA DE CÁLCULO'!$B:$J,6,)</f>
        <v>m³</v>
      </c>
      <c r="G62" s="165">
        <f>VLOOKUP(B62,'MEMÓRIA DE CÁLCULO'!$B:$J,9,)</f>
        <v>5.0816000000000017</v>
      </c>
      <c r="H62" s="176"/>
      <c r="I62" s="176"/>
      <c r="J62" s="173"/>
      <c r="K62" s="140"/>
      <c r="L62" s="139"/>
    </row>
    <row r="63" spans="1:12" s="35" customFormat="1" ht="15.75" x14ac:dyDescent="0.25">
      <c r="A63" s="139"/>
      <c r="B63" s="289" t="s">
        <v>213</v>
      </c>
      <c r="C63" s="290"/>
      <c r="D63" s="290"/>
      <c r="E63" s="290"/>
      <c r="F63" s="290"/>
      <c r="G63" s="290"/>
      <c r="H63" s="290"/>
      <c r="I63" s="290"/>
      <c r="J63" s="175">
        <f>J64</f>
        <v>0</v>
      </c>
      <c r="K63" s="140"/>
      <c r="L63" s="139"/>
    </row>
    <row r="64" spans="1:12" s="35" customFormat="1" ht="15" x14ac:dyDescent="0.25">
      <c r="A64" s="139"/>
      <c r="B64" s="162" t="s">
        <v>205</v>
      </c>
      <c r="C64" s="163" t="str">
        <f>VLOOKUP(B64,'MEMÓRIA DE CÁLCULO'!$B:$J,2,)</f>
        <v>GOINFRA</v>
      </c>
      <c r="D64" s="163">
        <f>VLOOKUP(B64,'MEMÓRIA DE CÁLCULO'!$B:$J,3,)</f>
        <v>60304</v>
      </c>
      <c r="E64" s="184" t="str">
        <f>VLOOKUP(B64,'MEMÓRIA DE CÁLCULO'!$B:$J,5,)</f>
        <v>ACO CA 50-A - 8,0 MM (5/16") - (OBRAS CIVIS)</v>
      </c>
      <c r="F64" s="163" t="str">
        <f>VLOOKUP(B64,'MEMÓRIA DE CÁLCULO'!$B:$J,6,)</f>
        <v>kg</v>
      </c>
      <c r="G64" s="165">
        <f>VLOOKUP(B64,'MEMÓRIA DE CÁLCULO'!$B:$J,9,)</f>
        <v>156</v>
      </c>
      <c r="H64" s="176"/>
      <c r="I64" s="176"/>
      <c r="J64" s="173"/>
      <c r="K64" s="140"/>
      <c r="L64" s="139"/>
    </row>
    <row r="65" spans="1:12" s="35" customFormat="1" ht="15.75" x14ac:dyDescent="0.25">
      <c r="A65" s="139"/>
      <c r="B65" s="289" t="s">
        <v>214</v>
      </c>
      <c r="C65" s="290"/>
      <c r="D65" s="290"/>
      <c r="E65" s="290"/>
      <c r="F65" s="290"/>
      <c r="G65" s="290"/>
      <c r="H65" s="290"/>
      <c r="I65" s="290"/>
      <c r="J65" s="175">
        <f>J66</f>
        <v>0</v>
      </c>
      <c r="K65" s="140"/>
      <c r="L65" s="139"/>
    </row>
    <row r="66" spans="1:12" s="35" customFormat="1" ht="15" x14ac:dyDescent="0.25">
      <c r="A66" s="139"/>
      <c r="B66" s="162" t="s">
        <v>206</v>
      </c>
      <c r="C66" s="163" t="str">
        <f>VLOOKUP(B66,'MEMÓRIA DE CÁLCULO'!$B:$J,2,)</f>
        <v>GOINFRA</v>
      </c>
      <c r="D66" s="163">
        <f>VLOOKUP(B66,'MEMÓRIA DE CÁLCULO'!$B:$J,3,)</f>
        <v>60304</v>
      </c>
      <c r="E66" s="184" t="str">
        <f>VLOOKUP(B66,'MEMÓRIA DE CÁLCULO'!$B:$J,5,)</f>
        <v>ACO CA 50-A - 8,0 MM (5/16") - (OBRAS CIVIS)</v>
      </c>
      <c r="F66" s="163" t="str">
        <f>VLOOKUP(B66,'MEMÓRIA DE CÁLCULO'!$B:$J,6,)</f>
        <v>kg</v>
      </c>
      <c r="G66" s="165">
        <f>VLOOKUP(B66,'MEMÓRIA DE CÁLCULO'!$B:$J,9,)</f>
        <v>199.2</v>
      </c>
      <c r="H66" s="176"/>
      <c r="I66" s="176"/>
      <c r="J66" s="173"/>
      <c r="K66" s="140"/>
      <c r="L66" s="139"/>
    </row>
    <row r="67" spans="1:12" s="35" customFormat="1" ht="15" x14ac:dyDescent="0.25">
      <c r="A67" s="139"/>
      <c r="B67" s="150"/>
      <c r="C67" s="179"/>
      <c r="D67" s="179"/>
      <c r="E67" s="185"/>
      <c r="F67" s="179"/>
      <c r="G67" s="181"/>
      <c r="H67" s="182"/>
      <c r="I67" s="182"/>
      <c r="J67" s="183"/>
      <c r="K67" s="140"/>
      <c r="L67" s="139"/>
    </row>
    <row r="68" spans="1:12" s="35" customFormat="1" ht="15.75" x14ac:dyDescent="0.25">
      <c r="A68" s="139"/>
      <c r="B68" s="234" t="s">
        <v>123</v>
      </c>
      <c r="C68" s="235"/>
      <c r="D68" s="235"/>
      <c r="E68" s="235"/>
      <c r="F68" s="235"/>
      <c r="G68" s="235"/>
      <c r="H68" s="235"/>
      <c r="I68" s="235"/>
      <c r="J68" s="178">
        <f>SUM(J70:J74)</f>
        <v>0</v>
      </c>
      <c r="K68" s="140"/>
      <c r="L68" s="139"/>
    </row>
    <row r="69" spans="1:12" s="35" customFormat="1" ht="15.75" x14ac:dyDescent="0.25">
      <c r="A69" s="139"/>
      <c r="B69" s="161">
        <v>6</v>
      </c>
      <c r="C69" s="297" t="s">
        <v>70</v>
      </c>
      <c r="D69" s="297"/>
      <c r="E69" s="297"/>
      <c r="F69" s="297"/>
      <c r="G69" s="297"/>
      <c r="H69" s="297"/>
      <c r="I69" s="297"/>
      <c r="J69" s="298"/>
      <c r="K69" s="140"/>
      <c r="L69" s="139"/>
    </row>
    <row r="70" spans="1:12" s="35" customFormat="1" ht="15" x14ac:dyDescent="0.25">
      <c r="A70" s="139"/>
      <c r="B70" s="216" t="s">
        <v>33</v>
      </c>
      <c r="C70" s="217" t="str">
        <f>VLOOKUP(B70,'MEMÓRIA DE CÁLCULO'!$B:$J,2,)</f>
        <v>GOINFRA</v>
      </c>
      <c r="D70" s="217">
        <f>VLOOKUP(B70,'MEMÓRIA DE CÁLCULO'!$B:$J,3,)</f>
        <v>82365</v>
      </c>
      <c r="E70" s="218" t="str">
        <f>VLOOKUP(B70,'MEMÓRIA DE CÁLCULO'!$B:$J,5,)</f>
        <v>TUBO RÍGIDO CORRUGADO PARA DRENAGEM DIAMETRO 100 MM</v>
      </c>
      <c r="F70" s="217" t="str">
        <f>VLOOKUP(B70,'MEMÓRIA DE CÁLCULO'!$B:$J,6,)</f>
        <v>m</v>
      </c>
      <c r="G70" s="219">
        <f>VLOOKUP(B70,'MEMÓRIA DE CÁLCULO'!$B:$J,9,)</f>
        <v>42</v>
      </c>
      <c r="H70" s="220"/>
      <c r="I70" s="220"/>
      <c r="J70" s="221"/>
      <c r="K70" s="140"/>
      <c r="L70" s="139"/>
    </row>
    <row r="71" spans="1:12" s="35" customFormat="1" ht="15" x14ac:dyDescent="0.25">
      <c r="A71" s="139"/>
      <c r="B71" s="216" t="s">
        <v>207</v>
      </c>
      <c r="C71" s="217" t="str">
        <f>VLOOKUP(B71,'MEMÓRIA DE CÁLCULO'!$B:$J,2,)</f>
        <v>GOINFRA</v>
      </c>
      <c r="D71" s="217">
        <f>VLOOKUP(B71,'MEMÓRIA DE CÁLCULO'!$B:$J,3,)</f>
        <v>82304</v>
      </c>
      <c r="E71" s="218" t="str">
        <f>VLOOKUP(B71,'MEMÓRIA DE CÁLCULO'!$B:$J,5,)</f>
        <v>TUBO SOLDAVEL P/ESGOTO DIAM. 100 MM</v>
      </c>
      <c r="F71" s="217" t="str">
        <f>VLOOKUP(B71,'MEMÓRIA DE CÁLCULO'!$B:$J,6,)</f>
        <v>m</v>
      </c>
      <c r="G71" s="219">
        <f>VLOOKUP(B71,'MEMÓRIA DE CÁLCULO'!$B:$J,9,)</f>
        <v>7</v>
      </c>
      <c r="H71" s="220"/>
      <c r="I71" s="220"/>
      <c r="J71" s="221"/>
      <c r="K71" s="140"/>
      <c r="L71" s="139"/>
    </row>
    <row r="72" spans="1:12" s="35" customFormat="1" ht="29.25" customHeight="1" x14ac:dyDescent="0.25">
      <c r="A72" s="139"/>
      <c r="B72" s="216" t="s">
        <v>208</v>
      </c>
      <c r="C72" s="217"/>
      <c r="D72" s="217" t="str">
        <f>VLOOKUP(B72,'MEMÓRIA DE CÁLCULO'!$B:$J,3,)</f>
        <v>COMP. 1</v>
      </c>
      <c r="E72" s="218" t="e">
        <f>VLOOKUP(B72,'MEMÓRIA DE CÁLCULO'!$B:$J,5,)</f>
        <v>#REF!</v>
      </c>
      <c r="F72" s="217" t="str">
        <f>VLOOKUP(B72,'MEMÓRIA DE CÁLCULO'!$B:$J,6,)</f>
        <v>und</v>
      </c>
      <c r="G72" s="219">
        <f>VLOOKUP(B72,'MEMÓRIA DE CÁLCULO'!$B:$J,9,)</f>
        <v>77</v>
      </c>
      <c r="H72" s="220"/>
      <c r="I72" s="220"/>
      <c r="J72" s="221"/>
      <c r="K72" s="140"/>
      <c r="L72" s="139"/>
    </row>
    <row r="73" spans="1:12" s="35" customFormat="1" ht="15" x14ac:dyDescent="0.25">
      <c r="A73" s="139"/>
      <c r="B73" s="162" t="s">
        <v>209</v>
      </c>
      <c r="C73" s="163" t="str">
        <f>VLOOKUP(B73,'MEMÓRIA DE CÁLCULO'!$B:$J,2,)</f>
        <v>GOINFRA</v>
      </c>
      <c r="D73" s="163">
        <f>VLOOKUP(B73,'MEMÓRIA DE CÁLCULO'!$B:$J,3,)</f>
        <v>81938</v>
      </c>
      <c r="E73" s="184" t="str">
        <f>VLOOKUP(B73,'MEMÓRIA DE CÁLCULO'!$B:$J,5,)</f>
        <v>JOELHO 90 GRAUS DIAMETRO 100 MM</v>
      </c>
      <c r="F73" s="163" t="str">
        <f>VLOOKUP(B73,'MEMÓRIA DE CÁLCULO'!$B:$J,6,)</f>
        <v>und</v>
      </c>
      <c r="G73" s="165">
        <f>VLOOKUP(B73,'MEMÓRIA DE CÁLCULO'!$B:$J,9,)</f>
        <v>2</v>
      </c>
      <c r="H73" s="176"/>
      <c r="I73" s="176"/>
      <c r="J73" s="173"/>
      <c r="K73" s="140"/>
      <c r="L73" s="139"/>
    </row>
    <row r="74" spans="1:12" s="35" customFormat="1" ht="15" x14ac:dyDescent="0.25">
      <c r="A74" s="139"/>
      <c r="B74" s="162" t="s">
        <v>210</v>
      </c>
      <c r="C74" s="163" t="str">
        <f>VLOOKUP(B74,'MEMÓRIA DE CÁLCULO'!$B:$J,2,)</f>
        <v>GOINFRA</v>
      </c>
      <c r="D74" s="163">
        <f>VLOOKUP(B74,'MEMÓRIA DE CÁLCULO'!$B:$J,3,)</f>
        <v>81829</v>
      </c>
      <c r="E74" s="184" t="str">
        <f>VLOOKUP(B74,'MEMÓRIA DE CÁLCULO'!$B:$J,5,)</f>
        <v>CAIXA DE INSPEÇÃO - TAMPA EM CONCRETO ARMADO 25 MPA E=5CM</v>
      </c>
      <c r="F74" s="163" t="str">
        <f>VLOOKUP(B74,'MEMÓRIA DE CÁLCULO'!$B:$J,6,)</f>
        <v>m²</v>
      </c>
      <c r="G74" s="165">
        <f>VLOOKUP(B74,'MEMÓRIA DE CÁLCULO'!$B:$J,9,)</f>
        <v>0.18</v>
      </c>
      <c r="H74" s="176"/>
      <c r="I74" s="176"/>
      <c r="J74" s="173"/>
      <c r="K74" s="140"/>
      <c r="L74" s="139"/>
    </row>
    <row r="75" spans="1:12" s="35" customFormat="1" ht="15" x14ac:dyDescent="0.25">
      <c r="A75" s="139"/>
      <c r="B75" s="150"/>
      <c r="C75" s="179"/>
      <c r="D75" s="179"/>
      <c r="E75" s="185"/>
      <c r="F75" s="179"/>
      <c r="G75" s="181"/>
      <c r="H75" s="182"/>
      <c r="I75" s="182"/>
      <c r="J75" s="183"/>
      <c r="K75" s="140"/>
      <c r="L75" s="139"/>
    </row>
    <row r="76" spans="1:12" s="35" customFormat="1" ht="15.75" x14ac:dyDescent="0.25">
      <c r="A76" s="139"/>
      <c r="B76" s="234" t="s">
        <v>116</v>
      </c>
      <c r="C76" s="235"/>
      <c r="D76" s="235"/>
      <c r="E76" s="235"/>
      <c r="F76" s="235"/>
      <c r="G76" s="235"/>
      <c r="H76" s="235"/>
      <c r="I76" s="235"/>
      <c r="J76" s="178">
        <f>SUM(J78:J78)</f>
        <v>0</v>
      </c>
      <c r="K76" s="140"/>
      <c r="L76" s="139"/>
    </row>
    <row r="77" spans="1:12" s="35" customFormat="1" ht="15.75" x14ac:dyDescent="0.25">
      <c r="A77" s="139"/>
      <c r="B77" s="161">
        <v>7</v>
      </c>
      <c r="C77" s="297" t="s">
        <v>99</v>
      </c>
      <c r="D77" s="297"/>
      <c r="E77" s="297"/>
      <c r="F77" s="297"/>
      <c r="G77" s="297"/>
      <c r="H77" s="297"/>
      <c r="I77" s="297"/>
      <c r="J77" s="298"/>
      <c r="K77" s="140"/>
      <c r="L77" s="139"/>
    </row>
    <row r="78" spans="1:12" s="35" customFormat="1" ht="27" customHeight="1" x14ac:dyDescent="0.25">
      <c r="A78" s="139"/>
      <c r="B78" s="162" t="s">
        <v>36</v>
      </c>
      <c r="C78" s="163" t="str">
        <f>VLOOKUP(B78,'MEMÓRIA DE CÁLCULO'!$B:$J,2,)</f>
        <v>GOINFRA</v>
      </c>
      <c r="D78" s="163">
        <f>VLOOKUP(B78,'MEMÓRIA DE CÁLCULO'!$B:$J,3,)</f>
        <v>121101</v>
      </c>
      <c r="E78" s="184" t="str">
        <f>VLOOKUP(B78,'MEMÓRIA DE CÁLCULO'!$B:$J,5,)</f>
        <v>IMPERMEABILIZAÇÃO MURO DE ARRIMO COM 4 DEMÃOS DE EMULSÃO ASFÁLTICA</v>
      </c>
      <c r="F78" s="163" t="str">
        <f>VLOOKUP(B78,'MEMÓRIA DE CÁLCULO'!$B:$J,6,)</f>
        <v>m²</v>
      </c>
      <c r="G78" s="165">
        <f>VLOOKUP(B78,'MEMÓRIA DE CÁLCULO'!$B:$J,9,)</f>
        <v>173.36</v>
      </c>
      <c r="H78" s="176"/>
      <c r="I78" s="176"/>
      <c r="J78" s="173"/>
      <c r="K78" s="140"/>
      <c r="L78" s="139"/>
    </row>
    <row r="79" spans="1:12" s="35" customFormat="1" ht="18" customHeight="1" x14ac:dyDescent="0.25">
      <c r="A79" s="139"/>
      <c r="B79" s="150"/>
      <c r="C79" s="179"/>
      <c r="D79" s="179"/>
      <c r="E79" s="185"/>
      <c r="F79" s="179"/>
      <c r="G79" s="181"/>
      <c r="H79" s="182"/>
      <c r="I79" s="182"/>
      <c r="J79" s="183"/>
      <c r="K79" s="140"/>
      <c r="L79" s="139"/>
    </row>
    <row r="80" spans="1:12" s="35" customFormat="1" ht="15.75" x14ac:dyDescent="0.25">
      <c r="A80" s="139"/>
      <c r="B80" s="234" t="s">
        <v>215</v>
      </c>
      <c r="C80" s="235"/>
      <c r="D80" s="235"/>
      <c r="E80" s="235"/>
      <c r="F80" s="235"/>
      <c r="G80" s="235"/>
      <c r="H80" s="235"/>
      <c r="I80" s="235"/>
      <c r="J80" s="178">
        <f>SUM(J82:J82)</f>
        <v>0</v>
      </c>
      <c r="K80" s="140"/>
      <c r="L80" s="139"/>
    </row>
    <row r="81" spans="1:12" s="35" customFormat="1" ht="15.75" x14ac:dyDescent="0.25">
      <c r="A81" s="139"/>
      <c r="B81" s="161">
        <v>8</v>
      </c>
      <c r="C81" s="297" t="s">
        <v>182</v>
      </c>
      <c r="D81" s="297"/>
      <c r="E81" s="297"/>
      <c r="F81" s="297"/>
      <c r="G81" s="297"/>
      <c r="H81" s="297"/>
      <c r="I81" s="297"/>
      <c r="J81" s="298"/>
      <c r="K81" s="140"/>
      <c r="L81" s="139"/>
    </row>
    <row r="82" spans="1:12" s="35" customFormat="1" ht="15.75" customHeight="1" x14ac:dyDescent="0.25">
      <c r="A82" s="139"/>
      <c r="B82" s="216" t="s">
        <v>103</v>
      </c>
      <c r="C82" s="217" t="str">
        <f>VLOOKUP(B82,'MEMÓRIA DE CÁLCULO'!$B:$J,2,)</f>
        <v>GOINFRA</v>
      </c>
      <c r="D82" s="217">
        <f>VLOOKUP(B82,'MEMÓRIA DE CÁLCULO'!$B:$J,3,)</f>
        <v>160602</v>
      </c>
      <c r="E82" s="218" t="str">
        <f>VLOOKUP(B82,'MEMÓRIA DE CÁLCULO'!$B:$J,5,)</f>
        <v>RUFO DE CHAPA GALVANIZADA</v>
      </c>
      <c r="F82" s="217" t="str">
        <f>VLOOKUP(B82,'MEMÓRIA DE CÁLCULO'!$B:$J,6,)</f>
        <v>m</v>
      </c>
      <c r="G82" s="219">
        <f>VLOOKUP(B82,'MEMÓRIA DE CÁLCULO'!$B:$J,9,)</f>
        <v>44.6</v>
      </c>
      <c r="H82" s="220"/>
      <c r="I82" s="220"/>
      <c r="J82" s="221"/>
      <c r="K82" s="140"/>
      <c r="L82" s="139"/>
    </row>
    <row r="83" spans="1:12" s="35" customFormat="1" ht="15.75" customHeight="1" x14ac:dyDescent="0.25">
      <c r="A83" s="139"/>
      <c r="B83" s="150"/>
      <c r="C83" s="179"/>
      <c r="D83" s="179"/>
      <c r="E83" s="185"/>
      <c r="F83" s="179"/>
      <c r="G83" s="181"/>
      <c r="H83" s="182"/>
      <c r="I83" s="182"/>
      <c r="J83" s="183"/>
      <c r="K83" s="140"/>
      <c r="L83" s="139"/>
    </row>
    <row r="84" spans="1:12" s="35" customFormat="1" ht="15.75" customHeight="1" x14ac:dyDescent="0.25">
      <c r="A84" s="139"/>
      <c r="B84" s="234" t="s">
        <v>118</v>
      </c>
      <c r="C84" s="235"/>
      <c r="D84" s="235"/>
      <c r="E84" s="235"/>
      <c r="F84" s="235"/>
      <c r="G84" s="235"/>
      <c r="H84" s="235"/>
      <c r="I84" s="235"/>
      <c r="J84" s="178">
        <f>SUM(J86:J88)</f>
        <v>0</v>
      </c>
      <c r="K84" s="140"/>
      <c r="L84" s="139"/>
    </row>
    <row r="85" spans="1:12" s="35" customFormat="1" ht="15.75" customHeight="1" x14ac:dyDescent="0.25">
      <c r="A85" s="139"/>
      <c r="B85" s="161">
        <v>9</v>
      </c>
      <c r="C85" s="297" t="s">
        <v>117</v>
      </c>
      <c r="D85" s="297"/>
      <c r="E85" s="297"/>
      <c r="F85" s="297"/>
      <c r="G85" s="297"/>
      <c r="H85" s="297"/>
      <c r="I85" s="297"/>
      <c r="J85" s="298"/>
      <c r="K85" s="140"/>
      <c r="L85" s="139"/>
    </row>
    <row r="86" spans="1:12" s="35" customFormat="1" ht="15.75" customHeight="1" x14ac:dyDescent="0.25">
      <c r="A86" s="139"/>
      <c r="B86" s="162" t="s">
        <v>107</v>
      </c>
      <c r="C86" s="163" t="str">
        <f>VLOOKUP(B86,'MEMÓRIA DE CÁLCULO'!$B:$J,2,)</f>
        <v>GOINFRA</v>
      </c>
      <c r="D86" s="163">
        <f>VLOOKUP(B86,'MEMÓRIA DE CÁLCULO'!$B:$J,3,)</f>
        <v>200101</v>
      </c>
      <c r="E86" s="184" t="str">
        <f>VLOOKUP(B86,'MEMÓRIA DE CÁLCULO'!$B:$J,5,)</f>
        <v>CHAPISCO COMUM</v>
      </c>
      <c r="F86" s="163" t="str">
        <f>VLOOKUP(B86,'MEMÓRIA DE CÁLCULO'!$B:$J,6,)</f>
        <v>m²</v>
      </c>
      <c r="G86" s="165">
        <f>VLOOKUP(B86,'MEMÓRIA DE CÁLCULO'!$B:$J,9,)</f>
        <v>347.88</v>
      </c>
      <c r="H86" s="176"/>
      <c r="I86" s="176"/>
      <c r="J86" s="173"/>
      <c r="K86" s="140"/>
      <c r="L86" s="139"/>
    </row>
    <row r="87" spans="1:12" s="35" customFormat="1" ht="15.75" customHeight="1" x14ac:dyDescent="0.25">
      <c r="A87" s="139"/>
      <c r="B87" s="162" t="s">
        <v>108</v>
      </c>
      <c r="C87" s="163" t="str">
        <f>VLOOKUP(B87,'MEMÓRIA DE CÁLCULO'!$B:$J,2,)</f>
        <v>GOINFRA</v>
      </c>
      <c r="D87" s="163">
        <f>VLOOKUP(B87,'MEMÓRIA DE CÁLCULO'!$B:$J,3,)</f>
        <v>200201</v>
      </c>
      <c r="E87" s="184" t="str">
        <f>VLOOKUP(B87,'MEMÓRIA DE CÁLCULO'!$B:$J,5,)</f>
        <v>EMBOÇO (1CI:4 ARML)</v>
      </c>
      <c r="F87" s="163" t="str">
        <f>VLOOKUP(B87,'MEMÓRIA DE CÁLCULO'!$B:$J,6,)</f>
        <v>m²</v>
      </c>
      <c r="G87" s="165">
        <f>VLOOKUP(B87,'MEMÓRIA DE CÁLCULO'!$B:$J,9,)</f>
        <v>173.94</v>
      </c>
      <c r="H87" s="176"/>
      <c r="I87" s="176"/>
      <c r="J87" s="173"/>
      <c r="K87" s="140"/>
      <c r="L87" s="139"/>
    </row>
    <row r="88" spans="1:12" s="35" customFormat="1" ht="15.75" customHeight="1" x14ac:dyDescent="0.25">
      <c r="A88" s="139"/>
      <c r="B88" s="162" t="s">
        <v>124</v>
      </c>
      <c r="C88" s="163" t="str">
        <f>VLOOKUP(B88,'MEMÓRIA DE CÁLCULO'!$B:$J,2,)</f>
        <v>GOINFRA</v>
      </c>
      <c r="D88" s="163">
        <f>VLOOKUP(B88,'MEMÓRIA DE CÁLCULO'!$B:$J,3,)</f>
        <v>200403</v>
      </c>
      <c r="E88" s="184" t="str">
        <f>VLOOKUP(B88,'MEMÓRIA DE CÁLCULO'!$B:$J,5,)</f>
        <v>REBOCO (1 CALH:4 ARFC+100kgCI/M3)</v>
      </c>
      <c r="F88" s="163" t="str">
        <f>VLOOKUP(B88,'MEMÓRIA DE CÁLCULO'!$B:$J,6,)</f>
        <v>m²</v>
      </c>
      <c r="G88" s="165">
        <f>VLOOKUP(B88,'MEMÓRIA DE CÁLCULO'!$B:$J,9,)</f>
        <v>347.88</v>
      </c>
      <c r="H88" s="176"/>
      <c r="I88" s="176"/>
      <c r="J88" s="173"/>
      <c r="K88" s="140"/>
      <c r="L88" s="139"/>
    </row>
    <row r="89" spans="1:12" s="35" customFormat="1" ht="15.75" customHeight="1" x14ac:dyDescent="0.25">
      <c r="A89" s="139"/>
      <c r="B89" s="150"/>
      <c r="C89" s="179"/>
      <c r="D89" s="179"/>
      <c r="E89" s="185"/>
      <c r="F89" s="179"/>
      <c r="G89" s="181"/>
      <c r="H89" s="182"/>
      <c r="I89" s="182"/>
      <c r="J89" s="183"/>
      <c r="K89" s="140"/>
      <c r="L89" s="139"/>
    </row>
    <row r="90" spans="1:12" s="35" customFormat="1" ht="15.75" customHeight="1" x14ac:dyDescent="0.25">
      <c r="A90" s="139"/>
      <c r="B90" s="234" t="s">
        <v>55</v>
      </c>
      <c r="C90" s="235"/>
      <c r="D90" s="235"/>
      <c r="E90" s="235"/>
      <c r="F90" s="235"/>
      <c r="G90" s="235"/>
      <c r="H90" s="235"/>
      <c r="I90" s="235"/>
      <c r="J90" s="178">
        <f>SUM(J92:J94)</f>
        <v>0</v>
      </c>
      <c r="K90" s="140"/>
      <c r="L90" s="139"/>
    </row>
    <row r="91" spans="1:12" s="35" customFormat="1" ht="15.75" customHeight="1" x14ac:dyDescent="0.25">
      <c r="A91" s="139"/>
      <c r="B91" s="161">
        <v>10</v>
      </c>
      <c r="C91" s="297" t="s">
        <v>35</v>
      </c>
      <c r="D91" s="297"/>
      <c r="E91" s="297"/>
      <c r="F91" s="297"/>
      <c r="G91" s="297"/>
      <c r="H91" s="297"/>
      <c r="I91" s="297"/>
      <c r="J91" s="298"/>
      <c r="K91" s="140"/>
      <c r="L91" s="139"/>
    </row>
    <row r="92" spans="1:12" s="35" customFormat="1" ht="15.75" customHeight="1" x14ac:dyDescent="0.25">
      <c r="A92" s="139"/>
      <c r="B92" s="162" t="s">
        <v>111</v>
      </c>
      <c r="C92" s="163" t="str">
        <f>VLOOKUP(B92,'MEMÓRIA DE CÁLCULO'!$B:$J,2,)</f>
        <v>GOINFRA</v>
      </c>
      <c r="D92" s="163">
        <f>VLOOKUP(B92,'MEMÓRIA DE CÁLCULO'!$B:$J,3,)</f>
        <v>250101</v>
      </c>
      <c r="E92" s="184" t="str">
        <f>VLOOKUP(B92,'MEMÓRIA DE CÁLCULO'!$B:$J,5,)</f>
        <v>ENGENHEIRO - (OBRAS CIVIS)</v>
      </c>
      <c r="F92" s="163" t="str">
        <f>VLOOKUP(B92,'MEMÓRIA DE CÁLCULO'!$B:$J,6,)</f>
        <v>h</v>
      </c>
      <c r="G92" s="165">
        <f>VLOOKUP(B92,'MEMÓRIA DE CÁLCULO'!$B:$J,9,)</f>
        <v>126</v>
      </c>
      <c r="H92" s="176"/>
      <c r="I92" s="176"/>
      <c r="J92" s="173"/>
      <c r="K92" s="140"/>
      <c r="L92" s="139"/>
    </row>
    <row r="93" spans="1:12" s="35" customFormat="1" ht="15.75" customHeight="1" x14ac:dyDescent="0.25">
      <c r="A93" s="139"/>
      <c r="B93" s="162" t="s">
        <v>113</v>
      </c>
      <c r="C93" s="163" t="str">
        <f>VLOOKUP(B93,'MEMÓRIA DE CÁLCULO'!$B:$J,2,)</f>
        <v>GOINFRA</v>
      </c>
      <c r="D93" s="163">
        <f>VLOOKUP(B93,'MEMÓRIA DE CÁLCULO'!$B:$J,3,)</f>
        <v>250103</v>
      </c>
      <c r="E93" s="184" t="str">
        <f>VLOOKUP(B93,'MEMÓRIA DE CÁLCULO'!$B:$J,5,)</f>
        <v>ENCARREGADO - (OBRAS CIVIS)</v>
      </c>
      <c r="F93" s="163" t="str">
        <f>VLOOKUP(B93,'MEMÓRIA DE CÁLCULO'!$B:$J,6,)</f>
        <v>h</v>
      </c>
      <c r="G93" s="165">
        <f>VLOOKUP(B93,'MEMÓRIA DE CÁLCULO'!$B:$J,9,)</f>
        <v>504</v>
      </c>
      <c r="H93" s="176"/>
      <c r="I93" s="176"/>
      <c r="J93" s="173"/>
      <c r="K93" s="140"/>
      <c r="L93" s="139"/>
    </row>
    <row r="94" spans="1:12" s="35" customFormat="1" ht="15.75" customHeight="1" x14ac:dyDescent="0.25">
      <c r="A94" s="139"/>
      <c r="B94" s="162" t="s">
        <v>128</v>
      </c>
      <c r="C94" s="163" t="str">
        <f>VLOOKUP(B94,'MEMÓRIA DE CÁLCULO'!$B:$J,2,)</f>
        <v>GOINFRA</v>
      </c>
      <c r="D94" s="163">
        <f>VLOOKUP(B94,'MEMÓRIA DE CÁLCULO'!$B:$J,3,)</f>
        <v>250111</v>
      </c>
      <c r="E94" s="184" t="str">
        <f>VLOOKUP(B94,'MEMÓRIA DE CÁLCULO'!$B:$J,5,)</f>
        <v>VIGIA DE OBRAS - (NOTURNO) - OBRAS CIVIS</v>
      </c>
      <c r="F94" s="163" t="str">
        <f>VLOOKUP(B94,'MEMÓRIA DE CÁLCULO'!$B:$J,6,)</f>
        <v>h</v>
      </c>
      <c r="G94" s="165">
        <f>VLOOKUP(B94,'MEMÓRIA DE CÁLCULO'!$B:$J,9,)</f>
        <v>900</v>
      </c>
      <c r="H94" s="176"/>
      <c r="I94" s="176"/>
      <c r="J94" s="173"/>
      <c r="K94" s="140"/>
      <c r="L94" s="139"/>
    </row>
    <row r="95" spans="1:12" s="35" customFormat="1" ht="15.75" customHeight="1" x14ac:dyDescent="0.25">
      <c r="A95" s="139"/>
      <c r="B95" s="150"/>
      <c r="C95" s="179"/>
      <c r="D95" s="179"/>
      <c r="E95" s="185"/>
      <c r="F95" s="179"/>
      <c r="G95" s="181"/>
      <c r="H95" s="182"/>
      <c r="I95" s="182"/>
      <c r="J95" s="183"/>
      <c r="K95" s="140"/>
      <c r="L95" s="139"/>
    </row>
    <row r="96" spans="1:12" s="35" customFormat="1" ht="20.25" customHeight="1" x14ac:dyDescent="0.25">
      <c r="A96" s="139"/>
      <c r="B96" s="234" t="s">
        <v>119</v>
      </c>
      <c r="C96" s="235"/>
      <c r="D96" s="235"/>
      <c r="E96" s="235"/>
      <c r="F96" s="235"/>
      <c r="G96" s="235"/>
      <c r="H96" s="235"/>
      <c r="I96" s="235"/>
      <c r="J96" s="178">
        <f>SUM(J98:J99)</f>
        <v>0</v>
      </c>
      <c r="K96" s="140"/>
      <c r="L96" s="139"/>
    </row>
    <row r="97" spans="1:12" s="35" customFormat="1" ht="15.75" customHeight="1" x14ac:dyDescent="0.25">
      <c r="A97" s="139"/>
      <c r="B97" s="161">
        <v>11</v>
      </c>
      <c r="C97" s="297" t="s">
        <v>110</v>
      </c>
      <c r="D97" s="297"/>
      <c r="E97" s="297"/>
      <c r="F97" s="297"/>
      <c r="G97" s="297"/>
      <c r="H97" s="297"/>
      <c r="I97" s="297"/>
      <c r="J97" s="298"/>
      <c r="K97" s="140"/>
      <c r="L97" s="139"/>
    </row>
    <row r="98" spans="1:12" s="35" customFormat="1" ht="15.75" customHeight="1" x14ac:dyDescent="0.25">
      <c r="A98" s="139"/>
      <c r="B98" s="162" t="s">
        <v>125</v>
      </c>
      <c r="C98" s="163" t="str">
        <f>VLOOKUP(B98,'MEMÓRIA DE CÁLCULO'!$B:$J,2,)</f>
        <v>GOINFRA</v>
      </c>
      <c r="D98" s="163">
        <f>VLOOKUP(B98,'MEMÓRIA DE CÁLCULO'!$B:$J,3,)</f>
        <v>261304</v>
      </c>
      <c r="E98" s="184" t="str">
        <f>VLOOKUP(B98,'MEMÓRIA DE CÁLCULO'!$B:$J,5,)</f>
        <v>EMASSAMENTO ACRILICO 2 DEMAOS</v>
      </c>
      <c r="F98" s="163" t="str">
        <f>VLOOKUP(B98,'MEMÓRIA DE CÁLCULO'!$B:$J,6,)</f>
        <v>m²</v>
      </c>
      <c r="G98" s="165">
        <f>VLOOKUP(B98,'MEMÓRIA DE CÁLCULO'!$B:$J,9,)</f>
        <v>87.259999999999991</v>
      </c>
      <c r="H98" s="176"/>
      <c r="I98" s="176"/>
      <c r="J98" s="173"/>
      <c r="K98" s="140"/>
      <c r="L98" s="139"/>
    </row>
    <row r="99" spans="1:12" s="35" customFormat="1" ht="15.75" customHeight="1" x14ac:dyDescent="0.25">
      <c r="A99" s="139"/>
      <c r="B99" s="162" t="s">
        <v>126</v>
      </c>
      <c r="C99" s="163" t="str">
        <f>VLOOKUP(B99,'MEMÓRIA DE CÁLCULO'!$B:$J,2,)</f>
        <v>GOINFRA</v>
      </c>
      <c r="D99" s="163">
        <f>VLOOKUP(B99,'MEMÓRIA DE CÁLCULO'!$B:$J,3,)</f>
        <v>261001</v>
      </c>
      <c r="E99" s="184" t="str">
        <f>VLOOKUP(B99,'MEMÓRIA DE CÁLCULO'!$B:$J,5,)</f>
        <v>PINTURA LATEX ACRILICO 2 DEMAOS</v>
      </c>
      <c r="F99" s="163" t="str">
        <f>VLOOKUP(B99,'MEMÓRIA DE CÁLCULO'!$B:$J,6,)</f>
        <v>m²</v>
      </c>
      <c r="G99" s="165">
        <f>VLOOKUP(B99,'MEMÓRIA DE CÁLCULO'!$B:$J,9,)</f>
        <v>174.51999999999998</v>
      </c>
      <c r="H99" s="176"/>
      <c r="I99" s="176"/>
      <c r="J99" s="173"/>
      <c r="K99" s="140"/>
      <c r="L99" s="139"/>
    </row>
    <row r="100" spans="1:12" s="35" customFormat="1" ht="15.75" customHeight="1" x14ac:dyDescent="0.25">
      <c r="A100" s="139"/>
      <c r="B100" s="150"/>
      <c r="C100" s="179"/>
      <c r="D100" s="179"/>
      <c r="E100" s="185"/>
      <c r="F100" s="179"/>
      <c r="G100" s="181"/>
      <c r="H100" s="182"/>
      <c r="I100" s="182"/>
      <c r="J100" s="183"/>
      <c r="K100" s="140"/>
      <c r="L100" s="139"/>
    </row>
    <row r="101" spans="1:12" s="35" customFormat="1" ht="15.75" customHeight="1" x14ac:dyDescent="0.25">
      <c r="A101" s="139"/>
      <c r="B101" s="234" t="s">
        <v>217</v>
      </c>
      <c r="C101" s="235"/>
      <c r="D101" s="235"/>
      <c r="E101" s="235"/>
      <c r="F101" s="235"/>
      <c r="G101" s="235"/>
      <c r="H101" s="235"/>
      <c r="I101" s="235"/>
      <c r="J101" s="178" t="e">
        <f>SUM(J103:J103)</f>
        <v>#REF!</v>
      </c>
      <c r="K101" s="140"/>
      <c r="L101" s="139"/>
    </row>
    <row r="102" spans="1:12" s="35" customFormat="1" ht="15.75" customHeight="1" x14ac:dyDescent="0.25">
      <c r="A102" s="139"/>
      <c r="B102" s="161">
        <v>12</v>
      </c>
      <c r="C102" s="297" t="s">
        <v>216</v>
      </c>
      <c r="D102" s="297"/>
      <c r="E102" s="297"/>
      <c r="F102" s="297"/>
      <c r="G102" s="297"/>
      <c r="H102" s="297"/>
      <c r="I102" s="297"/>
      <c r="J102" s="298"/>
      <c r="K102" s="140"/>
      <c r="L102" s="139"/>
    </row>
    <row r="103" spans="1:12" s="35" customFormat="1" ht="30.75" customHeight="1" x14ac:dyDescent="0.25">
      <c r="A103" s="139"/>
      <c r="B103" s="216" t="s">
        <v>211</v>
      </c>
      <c r="C103" s="217"/>
      <c r="D103" s="217" t="str">
        <f>VLOOKUP(B103,'MEMÓRIA DE CÁLCULO'!$B:$J,3,)</f>
        <v>COMP. 2</v>
      </c>
      <c r="E103" s="218" t="e">
        <f>VLOOKUP(B103,'MEMÓRIA DE CÁLCULO'!$B:$J,5,)</f>
        <v>#REF!</v>
      </c>
      <c r="F103" s="217" t="str">
        <f>VLOOKUP(B103,'MEMÓRIA DE CÁLCULO'!$B:$J,6,)</f>
        <v>m²</v>
      </c>
      <c r="G103" s="219">
        <f>VLOOKUP(B103,'MEMÓRIA DE CÁLCULO'!$B:$J,9,)</f>
        <v>75.819999999999993</v>
      </c>
      <c r="H103" s="220" t="e">
        <f>#REF!</f>
        <v>#REF!</v>
      </c>
      <c r="I103" s="220" t="e">
        <f>#REF!</f>
        <v>#REF!</v>
      </c>
      <c r="J103" s="221" t="e">
        <f>(I103+H103)*G103</f>
        <v>#REF!</v>
      </c>
      <c r="K103" s="140"/>
      <c r="L103" s="139"/>
    </row>
    <row r="104" spans="1:12" ht="19.5" customHeight="1" x14ac:dyDescent="0.25">
      <c r="B104" s="292" t="s">
        <v>56</v>
      </c>
      <c r="C104" s="293"/>
      <c r="D104" s="293"/>
      <c r="E104" s="293"/>
      <c r="F104" s="293"/>
      <c r="G104" s="293"/>
      <c r="H104" s="293"/>
      <c r="I104" s="293"/>
      <c r="J104" s="294"/>
      <c r="K104" s="291"/>
    </row>
    <row r="105" spans="1:12" ht="15.75" x14ac:dyDescent="0.25">
      <c r="B105" s="186"/>
      <c r="C105" s="187"/>
      <c r="D105" s="188"/>
      <c r="E105" s="189"/>
      <c r="F105" s="190"/>
      <c r="G105" s="190"/>
      <c r="H105" s="191"/>
      <c r="I105" s="192" t="s">
        <v>57</v>
      </c>
      <c r="J105" s="193" t="e">
        <f>SUM(J101,J96,J90,J84,J80,J76,J68,J48,J31,J19,J15,J9)</f>
        <v>#REF!</v>
      </c>
      <c r="K105" s="291"/>
    </row>
    <row r="106" spans="1:12" ht="15.75" x14ac:dyDescent="0.25">
      <c r="B106" s="194"/>
      <c r="C106" s="195"/>
      <c r="D106" s="196"/>
      <c r="E106" s="197"/>
      <c r="F106" s="198"/>
      <c r="G106" s="198"/>
      <c r="H106" s="199"/>
      <c r="I106" s="200" t="s">
        <v>58</v>
      </c>
      <c r="J106" s="201" t="e">
        <f>ROUNDUP((J105*0.2388),2)</f>
        <v>#REF!</v>
      </c>
      <c r="K106" s="291"/>
    </row>
    <row r="107" spans="1:12" ht="16.5" thickBot="1" x14ac:dyDescent="0.3">
      <c r="B107" s="202"/>
      <c r="C107" s="203"/>
      <c r="D107" s="204"/>
      <c r="E107" s="205"/>
      <c r="F107" s="206"/>
      <c r="G107" s="206"/>
      <c r="H107" s="207"/>
      <c r="I107" s="208" t="s">
        <v>59</v>
      </c>
      <c r="J107" s="209" t="e">
        <f>J106+J105</f>
        <v>#REF!</v>
      </c>
      <c r="K107" s="291"/>
    </row>
    <row r="108" spans="1:12" ht="15.75" x14ac:dyDescent="0.25">
      <c r="B108" s="194"/>
      <c r="C108" s="195"/>
      <c r="D108" s="196"/>
      <c r="E108" s="197"/>
      <c r="F108" s="198"/>
      <c r="G108" s="198"/>
      <c r="H108" s="199"/>
      <c r="I108" s="200"/>
      <c r="J108" s="201"/>
      <c r="K108" s="291"/>
    </row>
    <row r="109" spans="1:12" ht="36" customHeight="1" x14ac:dyDescent="0.25">
      <c r="B109" s="194"/>
      <c r="C109" s="195"/>
      <c r="D109" s="196"/>
      <c r="E109" s="210" t="s">
        <v>41</v>
      </c>
      <c r="F109" s="301" t="s">
        <v>60</v>
      </c>
      <c r="G109" s="301"/>
      <c r="H109" s="301"/>
      <c r="I109" s="301"/>
      <c r="J109" s="302"/>
      <c r="K109" s="291"/>
    </row>
    <row r="110" spans="1:12" ht="35.25" customHeight="1" x14ac:dyDescent="0.25">
      <c r="B110" s="194"/>
      <c r="C110" s="195"/>
      <c r="D110" s="211"/>
      <c r="E110" s="212" t="s">
        <v>42</v>
      </c>
      <c r="F110" s="295" t="s">
        <v>42</v>
      </c>
      <c r="G110" s="295"/>
      <c r="H110" s="295"/>
      <c r="I110" s="295"/>
      <c r="J110" s="296"/>
      <c r="K110" s="291"/>
    </row>
    <row r="111" spans="1:12" ht="15" x14ac:dyDescent="0.25">
      <c r="B111" s="194"/>
      <c r="C111" s="195"/>
      <c r="D111" s="211"/>
      <c r="E111" s="212" t="s">
        <v>226</v>
      </c>
      <c r="F111" s="295" t="s">
        <v>61</v>
      </c>
      <c r="G111" s="295"/>
      <c r="H111" s="295"/>
      <c r="I111" s="295"/>
      <c r="J111" s="296"/>
      <c r="K111" s="291"/>
    </row>
    <row r="112" spans="1:12" ht="23.25" customHeight="1" thickBot="1" x14ac:dyDescent="0.3">
      <c r="B112" s="202"/>
      <c r="C112" s="213"/>
      <c r="D112" s="214"/>
      <c r="E112" s="153" t="s">
        <v>225</v>
      </c>
      <c r="F112" s="299" t="s">
        <v>62</v>
      </c>
      <c r="G112" s="299"/>
      <c r="H112" s="299"/>
      <c r="I112" s="299"/>
      <c r="J112" s="300"/>
      <c r="K112" s="291"/>
    </row>
    <row r="113" spans="4:10" x14ac:dyDescent="0.25">
      <c r="D113" s="40"/>
      <c r="H113" s="43"/>
      <c r="I113" s="43"/>
      <c r="J113" s="38"/>
    </row>
    <row r="114" spans="4:10" x14ac:dyDescent="0.25">
      <c r="D114" s="40"/>
    </row>
    <row r="115" spans="4:10" x14ac:dyDescent="0.25">
      <c r="D115" s="40"/>
    </row>
    <row r="116" spans="4:10" x14ac:dyDescent="0.25">
      <c r="D116" s="40"/>
      <c r="E116" s="67"/>
    </row>
  </sheetData>
  <mergeCells count="50">
    <mergeCell ref="B101:I101"/>
    <mergeCell ref="C102:J102"/>
    <mergeCell ref="B6:J6"/>
    <mergeCell ref="B14:J14"/>
    <mergeCell ref="C97:J97"/>
    <mergeCell ref="B68:I68"/>
    <mergeCell ref="C69:J69"/>
    <mergeCell ref="B7:J7"/>
    <mergeCell ref="C10:J10"/>
    <mergeCell ref="C16:J16"/>
    <mergeCell ref="B9:I9"/>
    <mergeCell ref="B15:I15"/>
    <mergeCell ref="B84:I84"/>
    <mergeCell ref="C85:J85"/>
    <mergeCell ref="B90:I90"/>
    <mergeCell ref="B96:I96"/>
    <mergeCell ref="K1:K5"/>
    <mergeCell ref="B2:J2"/>
    <mergeCell ref="B3:J3"/>
    <mergeCell ref="B4:J4"/>
    <mergeCell ref="B5:J5"/>
    <mergeCell ref="B1:J1"/>
    <mergeCell ref="B41:I41"/>
    <mergeCell ref="B51:I51"/>
    <mergeCell ref="B57:I57"/>
    <mergeCell ref="B63:I63"/>
    <mergeCell ref="B18:J18"/>
    <mergeCell ref="C20:J20"/>
    <mergeCell ref="C32:J32"/>
    <mergeCell ref="B31:I31"/>
    <mergeCell ref="B19:I19"/>
    <mergeCell ref="B21:I21"/>
    <mergeCell ref="B24:I24"/>
    <mergeCell ref="B27:I27"/>
    <mergeCell ref="B65:I65"/>
    <mergeCell ref="K104:K112"/>
    <mergeCell ref="B104:J104"/>
    <mergeCell ref="B33:I33"/>
    <mergeCell ref="B48:I48"/>
    <mergeCell ref="F111:J111"/>
    <mergeCell ref="C49:J49"/>
    <mergeCell ref="B76:I76"/>
    <mergeCell ref="C77:J77"/>
    <mergeCell ref="F112:J112"/>
    <mergeCell ref="B80:I80"/>
    <mergeCell ref="C81:J81"/>
    <mergeCell ref="F109:J109"/>
    <mergeCell ref="F110:J110"/>
    <mergeCell ref="C91:J91"/>
    <mergeCell ref="B35:I35"/>
  </mergeCells>
  <phoneticPr fontId="11" type="noConversion"/>
  <printOptions horizontalCentered="1"/>
  <pageMargins left="0.23622047244094491" right="0.23622047244094491" top="0.27559055118110237" bottom="0.74803149606299213" header="0.31496062992125984" footer="0.31496062992125984"/>
  <pageSetup paperSize="9" scale="66" fitToHeight="0" orientation="landscape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8A9A-3259-48E8-BA26-F22DE1B45450}">
  <sheetPr>
    <pageSetUpPr fitToPage="1"/>
  </sheetPr>
  <dimension ref="A1:K32"/>
  <sheetViews>
    <sheetView topLeftCell="A16" zoomScale="85" zoomScaleNormal="85" zoomScaleSheetLayoutView="90" workbookViewId="0">
      <selection activeCell="K30" sqref="K30"/>
    </sheetView>
  </sheetViews>
  <sheetFormatPr defaultRowHeight="15" x14ac:dyDescent="0.25"/>
  <cols>
    <col min="1" max="1" width="3" style="14" customWidth="1"/>
    <col min="2" max="2" width="42.7109375" customWidth="1"/>
    <col min="3" max="3" width="23.7109375" style="29" customWidth="1"/>
    <col min="4" max="4" width="17" style="14" customWidth="1"/>
    <col min="5" max="5" width="23.5703125" style="14" customWidth="1"/>
    <col min="6" max="6" width="23.140625" style="14" customWidth="1"/>
    <col min="7" max="7" width="21.28515625" style="14" customWidth="1"/>
    <col min="8" max="8" width="9.85546875" style="14" customWidth="1"/>
    <col min="11" max="11" width="16" bestFit="1" customWidth="1"/>
  </cols>
  <sheetData>
    <row r="1" spans="1:8" x14ac:dyDescent="0.25">
      <c r="A1" s="54"/>
      <c r="B1" s="348" t="s">
        <v>63</v>
      </c>
      <c r="C1" s="348"/>
      <c r="D1" s="348"/>
      <c r="E1" s="348"/>
      <c r="F1" s="348"/>
      <c r="G1" s="348"/>
      <c r="H1" s="55">
        <v>23.88</v>
      </c>
    </row>
    <row r="2" spans="1:8" x14ac:dyDescent="0.25">
      <c r="A2" s="56"/>
      <c r="B2" s="343" t="s">
        <v>1</v>
      </c>
      <c r="C2" s="343"/>
      <c r="D2" s="343"/>
      <c r="E2" s="343"/>
      <c r="F2" s="343"/>
      <c r="G2" s="343"/>
      <c r="H2" s="57"/>
    </row>
    <row r="3" spans="1:8" ht="15" customHeight="1" x14ac:dyDescent="0.25">
      <c r="A3" s="56"/>
      <c r="B3" s="349" t="s">
        <v>224</v>
      </c>
      <c r="C3" s="349"/>
      <c r="D3" s="349"/>
      <c r="E3" s="349"/>
      <c r="F3" s="349"/>
      <c r="G3" s="349"/>
      <c r="H3" s="57"/>
    </row>
    <row r="4" spans="1:8" x14ac:dyDescent="0.25">
      <c r="A4" s="56"/>
      <c r="B4" s="343" t="s">
        <v>64</v>
      </c>
      <c r="C4" s="343"/>
      <c r="D4" s="343"/>
      <c r="E4" s="343"/>
      <c r="F4" s="343"/>
      <c r="G4" s="343"/>
      <c r="H4" s="57"/>
    </row>
    <row r="5" spans="1:8" x14ac:dyDescent="0.25">
      <c r="A5" s="56"/>
      <c r="B5" s="343" t="s">
        <v>229</v>
      </c>
      <c r="C5" s="343"/>
      <c r="D5" s="343"/>
      <c r="E5" s="343"/>
      <c r="F5" s="343"/>
      <c r="G5" s="343"/>
      <c r="H5" s="344"/>
    </row>
    <row r="6" spans="1:8" ht="15.75" thickBot="1" x14ac:dyDescent="0.3">
      <c r="A6" s="345" t="s">
        <v>231</v>
      </c>
      <c r="B6" s="346"/>
      <c r="C6" s="346"/>
      <c r="D6" s="346"/>
      <c r="E6" s="346"/>
      <c r="F6" s="346"/>
      <c r="G6" s="346"/>
      <c r="H6" s="347"/>
    </row>
    <row r="7" spans="1:8" ht="35.25" customHeight="1" thickBot="1" x14ac:dyDescent="0.3">
      <c r="A7" s="331" t="s">
        <v>65</v>
      </c>
      <c r="B7" s="332"/>
      <c r="C7" s="332"/>
      <c r="D7" s="332"/>
      <c r="E7" s="332"/>
      <c r="F7" s="332"/>
      <c r="G7" s="332"/>
      <c r="H7" s="333"/>
    </row>
    <row r="8" spans="1:8" ht="19.5" customHeight="1" x14ac:dyDescent="0.25">
      <c r="A8" s="90"/>
      <c r="B8" s="91"/>
      <c r="C8" s="91"/>
      <c r="D8" s="91"/>
      <c r="E8" s="329" t="s">
        <v>232</v>
      </c>
      <c r="F8" s="330"/>
      <c r="G8" s="330"/>
      <c r="H8" s="92"/>
    </row>
    <row r="9" spans="1:8" ht="37.5" customHeight="1" x14ac:dyDescent="0.25">
      <c r="A9" s="58"/>
      <c r="B9" s="42" t="s">
        <v>66</v>
      </c>
      <c r="C9" s="41" t="s">
        <v>67</v>
      </c>
      <c r="D9" s="41" t="s">
        <v>68</v>
      </c>
      <c r="E9" s="42">
        <v>1</v>
      </c>
      <c r="F9" s="42">
        <v>2</v>
      </c>
      <c r="G9" s="42">
        <v>3</v>
      </c>
      <c r="H9" s="59" t="s">
        <v>9</v>
      </c>
    </row>
    <row r="10" spans="1:8" x14ac:dyDescent="0.25">
      <c r="A10" s="58">
        <v>1</v>
      </c>
      <c r="B10" s="45" t="s">
        <v>8</v>
      </c>
      <c r="C10" s="46">
        <f>'ORÇAMENTO '!J9</f>
        <v>0</v>
      </c>
      <c r="D10" s="47" t="e">
        <f>C10/$C$22</f>
        <v>#REF!</v>
      </c>
      <c r="E10" s="47">
        <v>1</v>
      </c>
      <c r="F10" s="47"/>
      <c r="G10" s="47"/>
      <c r="H10" s="60">
        <f t="shared" ref="H10:H21" si="0">SUM(E10:G10)</f>
        <v>1</v>
      </c>
    </row>
    <row r="11" spans="1:8" x14ac:dyDescent="0.25">
      <c r="A11" s="58">
        <v>2</v>
      </c>
      <c r="B11" s="45" t="s">
        <v>52</v>
      </c>
      <c r="C11" s="46">
        <f>'ORÇAMENTO '!J15</f>
        <v>0</v>
      </c>
      <c r="D11" s="47" t="e">
        <f t="shared" ref="D11:D21" si="1">C11/$C$22</f>
        <v>#REF!</v>
      </c>
      <c r="E11" s="47">
        <v>1</v>
      </c>
      <c r="F11" s="47"/>
      <c r="G11" s="47"/>
      <c r="H11" s="60">
        <f t="shared" si="0"/>
        <v>1</v>
      </c>
    </row>
    <row r="12" spans="1:8" x14ac:dyDescent="0.25">
      <c r="A12" s="58">
        <v>3</v>
      </c>
      <c r="B12" s="45" t="s">
        <v>69</v>
      </c>
      <c r="C12" s="46">
        <f>'ORÇAMENTO '!J19</f>
        <v>0</v>
      </c>
      <c r="D12" s="47" t="e">
        <f t="shared" si="1"/>
        <v>#REF!</v>
      </c>
      <c r="E12" s="47">
        <v>1</v>
      </c>
      <c r="F12" s="47"/>
      <c r="G12" s="47"/>
      <c r="H12" s="60">
        <f t="shared" si="0"/>
        <v>1</v>
      </c>
    </row>
    <row r="13" spans="1:8" x14ac:dyDescent="0.25">
      <c r="A13" s="58">
        <v>4</v>
      </c>
      <c r="B13" s="45" t="s">
        <v>28</v>
      </c>
      <c r="C13" s="46">
        <f>'ORÇAMENTO '!J31</f>
        <v>0</v>
      </c>
      <c r="D13" s="47" t="e">
        <f t="shared" si="1"/>
        <v>#REF!</v>
      </c>
      <c r="E13" s="47">
        <v>1</v>
      </c>
      <c r="F13" s="47"/>
      <c r="G13" s="47"/>
      <c r="H13" s="60">
        <f t="shared" si="0"/>
        <v>1</v>
      </c>
    </row>
    <row r="14" spans="1:8" x14ac:dyDescent="0.25">
      <c r="A14" s="58">
        <v>5</v>
      </c>
      <c r="B14" s="45" t="s">
        <v>96</v>
      </c>
      <c r="C14" s="46">
        <f>'ORÇAMENTO '!J48</f>
        <v>0</v>
      </c>
      <c r="D14" s="47" t="e">
        <f t="shared" si="1"/>
        <v>#REF!</v>
      </c>
      <c r="E14" s="47">
        <v>0.8</v>
      </c>
      <c r="F14" s="47">
        <v>0.2</v>
      </c>
      <c r="G14" s="47"/>
      <c r="H14" s="60">
        <f t="shared" si="0"/>
        <v>1</v>
      </c>
    </row>
    <row r="15" spans="1:8" x14ac:dyDescent="0.25">
      <c r="A15" s="58">
        <v>6</v>
      </c>
      <c r="B15" s="45" t="s">
        <v>70</v>
      </c>
      <c r="C15" s="46">
        <f>'ORÇAMENTO '!J68</f>
        <v>0</v>
      </c>
      <c r="D15" s="47" t="e">
        <f t="shared" si="1"/>
        <v>#REF!</v>
      </c>
      <c r="E15" s="47"/>
      <c r="F15" s="47">
        <v>0.5</v>
      </c>
      <c r="G15" s="47">
        <v>0.5</v>
      </c>
      <c r="H15" s="60">
        <f t="shared" si="0"/>
        <v>1</v>
      </c>
    </row>
    <row r="16" spans="1:8" x14ac:dyDescent="0.25">
      <c r="A16" s="58">
        <v>7</v>
      </c>
      <c r="B16" s="45" t="s">
        <v>99</v>
      </c>
      <c r="C16" s="46">
        <f>'ORÇAMENTO '!J76</f>
        <v>0</v>
      </c>
      <c r="D16" s="47" t="e">
        <f t="shared" si="1"/>
        <v>#REF!</v>
      </c>
      <c r="E16" s="47">
        <v>0.65</v>
      </c>
      <c r="F16" s="47">
        <v>0.35</v>
      </c>
      <c r="G16" s="47"/>
      <c r="H16" s="60">
        <f t="shared" si="0"/>
        <v>1</v>
      </c>
    </row>
    <row r="17" spans="1:11" x14ac:dyDescent="0.25">
      <c r="A17" s="58">
        <v>8</v>
      </c>
      <c r="B17" s="45" t="s">
        <v>182</v>
      </c>
      <c r="C17" s="46">
        <f>'ORÇAMENTO '!J80</f>
        <v>0</v>
      </c>
      <c r="D17" s="47" t="e">
        <f t="shared" si="1"/>
        <v>#REF!</v>
      </c>
      <c r="E17" s="47"/>
      <c r="F17" s="47"/>
      <c r="G17" s="47">
        <v>1</v>
      </c>
      <c r="H17" s="60">
        <f t="shared" si="0"/>
        <v>1</v>
      </c>
    </row>
    <row r="18" spans="1:11" x14ac:dyDescent="0.25">
      <c r="A18" s="58">
        <v>9</v>
      </c>
      <c r="B18" s="45" t="s">
        <v>117</v>
      </c>
      <c r="C18" s="46">
        <f>'ORÇAMENTO '!J84</f>
        <v>0</v>
      </c>
      <c r="D18" s="47" t="e">
        <f t="shared" si="1"/>
        <v>#REF!</v>
      </c>
      <c r="E18" s="47"/>
      <c r="F18" s="47">
        <v>0.6</v>
      </c>
      <c r="G18" s="47">
        <v>0.4</v>
      </c>
      <c r="H18" s="60">
        <f t="shared" si="0"/>
        <v>1</v>
      </c>
    </row>
    <row r="19" spans="1:11" x14ac:dyDescent="0.25">
      <c r="A19" s="58">
        <v>10</v>
      </c>
      <c r="B19" s="45" t="s">
        <v>35</v>
      </c>
      <c r="C19" s="46">
        <f>'ORÇAMENTO '!J90</f>
        <v>0</v>
      </c>
      <c r="D19" s="47" t="e">
        <f t="shared" si="1"/>
        <v>#REF!</v>
      </c>
      <c r="E19" s="47">
        <v>0.3715</v>
      </c>
      <c r="F19" s="47">
        <v>0.32250000000000001</v>
      </c>
      <c r="G19" s="47">
        <v>0.30599999999999999</v>
      </c>
      <c r="H19" s="60">
        <f t="shared" si="0"/>
        <v>1</v>
      </c>
    </row>
    <row r="20" spans="1:11" x14ac:dyDescent="0.25">
      <c r="A20" s="58">
        <v>11</v>
      </c>
      <c r="B20" s="144" t="s">
        <v>110</v>
      </c>
      <c r="C20" s="46">
        <f>'ORÇAMENTO '!J96</f>
        <v>0</v>
      </c>
      <c r="D20" s="47" t="e">
        <f t="shared" si="1"/>
        <v>#REF!</v>
      </c>
      <c r="E20" s="47"/>
      <c r="F20" s="47"/>
      <c r="G20" s="47">
        <v>1</v>
      </c>
      <c r="H20" s="60">
        <f t="shared" si="0"/>
        <v>1</v>
      </c>
    </row>
    <row r="21" spans="1:11" x14ac:dyDescent="0.25">
      <c r="A21" s="58">
        <v>12</v>
      </c>
      <c r="B21" s="144" t="s">
        <v>216</v>
      </c>
      <c r="C21" s="46" t="e">
        <f>'ORÇAMENTO '!J101</f>
        <v>#REF!</v>
      </c>
      <c r="D21" s="47" t="e">
        <f t="shared" si="1"/>
        <v>#REF!</v>
      </c>
      <c r="E21" s="47">
        <v>0.4</v>
      </c>
      <c r="F21" s="47">
        <v>0.6</v>
      </c>
      <c r="G21" s="47"/>
      <c r="H21" s="60">
        <f t="shared" si="0"/>
        <v>1</v>
      </c>
    </row>
    <row r="22" spans="1:11" x14ac:dyDescent="0.25">
      <c r="A22" s="336" t="s">
        <v>71</v>
      </c>
      <c r="B22" s="337"/>
      <c r="C22" s="48" t="e">
        <f>SUM(C10:C21)</f>
        <v>#REF!</v>
      </c>
      <c r="D22" s="49" t="e">
        <f>SUM(D10:D21)</f>
        <v>#REF!</v>
      </c>
      <c r="E22" s="50" t="e">
        <f>SUM(C10*E10,C11*E11,C12*E12,C13*E13,C14*E14,C15*E15,C16*E16,C17*E17,C18*E18,C19*E19,C20*E20,C21*E21)</f>
        <v>#REF!</v>
      </c>
      <c r="F22" s="50" t="e">
        <f>SUM(C10*F10,C11*F11,C12*F12,C13*F13,C14*F14,C15*F15,C16*F16,C17*F17,C18*F18,C19*F19,C20*F20,C21*F21)</f>
        <v>#REF!</v>
      </c>
      <c r="G22" s="50" t="e">
        <f>SUM(C15*G15,C16*G16,C17*G17,C18*G18,C19*G19,C20*G20,C21*G21,G14*C14)</f>
        <v>#REF!</v>
      </c>
      <c r="H22" s="334"/>
    </row>
    <row r="23" spans="1:11" x14ac:dyDescent="0.25">
      <c r="A23" s="336" t="s">
        <v>72</v>
      </c>
      <c r="B23" s="337" t="s">
        <v>72</v>
      </c>
      <c r="C23" s="51" t="e">
        <f>C22*(1+$H$1/100)</f>
        <v>#REF!</v>
      </c>
      <c r="D23" s="52"/>
      <c r="E23" s="52" t="e">
        <f>E22*(1+$H$1/100)</f>
        <v>#REF!</v>
      </c>
      <c r="F23" s="52" t="e">
        <f>F22*(1+$H$1/100)</f>
        <v>#REF!</v>
      </c>
      <c r="G23" s="52" t="e">
        <f t="shared" ref="G23" si="2">G22*(1+$H$1/100)</f>
        <v>#REF!</v>
      </c>
      <c r="H23" s="335"/>
      <c r="K23" s="145"/>
    </row>
    <row r="24" spans="1:11" x14ac:dyDescent="0.25">
      <c r="A24" s="336" t="s">
        <v>73</v>
      </c>
      <c r="B24" s="338"/>
      <c r="C24" s="338"/>
      <c r="D24" s="337"/>
      <c r="E24" s="47" t="e">
        <f>E23/$C$23</f>
        <v>#REF!</v>
      </c>
      <c r="F24" s="47" t="e">
        <f>F23/$C$23</f>
        <v>#REF!</v>
      </c>
      <c r="G24" s="47" t="e">
        <f>G23/$C$23</f>
        <v>#REF!</v>
      </c>
      <c r="H24" s="335"/>
    </row>
    <row r="25" spans="1:11" x14ac:dyDescent="0.25">
      <c r="A25" s="336" t="s">
        <v>74</v>
      </c>
      <c r="B25" s="338"/>
      <c r="C25" s="338"/>
      <c r="D25" s="337"/>
      <c r="E25" s="53" t="e">
        <f>E23</f>
        <v>#REF!</v>
      </c>
      <c r="F25" s="53" t="e">
        <f>F23+E25</f>
        <v>#REF!</v>
      </c>
      <c r="G25" s="53" t="e">
        <f>G23+F25</f>
        <v>#REF!</v>
      </c>
      <c r="H25" s="335"/>
    </row>
    <row r="26" spans="1:11" ht="15.75" thickBot="1" x14ac:dyDescent="0.3">
      <c r="A26" s="339" t="s">
        <v>75</v>
      </c>
      <c r="B26" s="340"/>
      <c r="C26" s="340"/>
      <c r="D26" s="341"/>
      <c r="E26" s="98" t="e">
        <f>E24</f>
        <v>#REF!</v>
      </c>
      <c r="F26" s="98" t="e">
        <f>E26+F24</f>
        <v>#REF!</v>
      </c>
      <c r="G26" s="98" t="e">
        <f t="shared" ref="G26" si="3">F26+G24</f>
        <v>#REF!</v>
      </c>
      <c r="H26" s="335"/>
    </row>
    <row r="27" spans="1:11" x14ac:dyDescent="0.25">
      <c r="A27" s="99"/>
      <c r="B27" s="100"/>
      <c r="C27" s="101"/>
      <c r="D27" s="93"/>
      <c r="E27" s="93"/>
      <c r="F27" s="93"/>
      <c r="G27" s="93"/>
      <c r="H27" s="94"/>
    </row>
    <row r="28" spans="1:11" ht="14.25" customHeight="1" x14ac:dyDescent="0.25">
      <c r="A28" s="13"/>
      <c r="F28" s="342" t="s">
        <v>41</v>
      </c>
      <c r="G28" s="342"/>
      <c r="H28" s="95"/>
    </row>
    <row r="29" spans="1:11" ht="28.5" customHeight="1" x14ac:dyDescent="0.25">
      <c r="A29" s="13"/>
      <c r="F29" s="104"/>
      <c r="G29" s="104"/>
      <c r="H29" s="95"/>
    </row>
    <row r="30" spans="1:11" ht="22.5" customHeight="1" x14ac:dyDescent="0.25">
      <c r="A30" s="13"/>
      <c r="F30" s="327" t="s">
        <v>42</v>
      </c>
      <c r="G30" s="327"/>
      <c r="H30" s="95"/>
    </row>
    <row r="31" spans="1:11" ht="18.75" customHeight="1" x14ac:dyDescent="0.25">
      <c r="A31" s="13"/>
      <c r="F31" s="327" t="s">
        <v>226</v>
      </c>
      <c r="G31" s="327"/>
      <c r="H31" s="95"/>
    </row>
    <row r="32" spans="1:11" ht="18.75" customHeight="1" thickBot="1" x14ac:dyDescent="0.3">
      <c r="A32" s="21"/>
      <c r="B32" s="1"/>
      <c r="C32" s="102"/>
      <c r="D32" s="96"/>
      <c r="E32" s="96"/>
      <c r="F32" s="328" t="s">
        <v>225</v>
      </c>
      <c r="G32" s="328"/>
      <c r="H32" s="97"/>
    </row>
  </sheetData>
  <mergeCells count="18">
    <mergeCell ref="B5:H5"/>
    <mergeCell ref="A6:H6"/>
    <mergeCell ref="B1:G1"/>
    <mergeCell ref="B4:G4"/>
    <mergeCell ref="B3:G3"/>
    <mergeCell ref="B2:G2"/>
    <mergeCell ref="F31:G31"/>
    <mergeCell ref="F32:G32"/>
    <mergeCell ref="E8:G8"/>
    <mergeCell ref="A7:H7"/>
    <mergeCell ref="H22:H26"/>
    <mergeCell ref="A22:B22"/>
    <mergeCell ref="A23:B23"/>
    <mergeCell ref="A24:D24"/>
    <mergeCell ref="A25:D25"/>
    <mergeCell ref="A26:D26"/>
    <mergeCell ref="F30:G30"/>
    <mergeCell ref="F28:G28"/>
  </mergeCells>
  <pageMargins left="0.511811024" right="0.511811024" top="0.78740157499999996" bottom="0.78740157499999996" header="0.31496062000000002" footer="0.31496062000000002"/>
  <pageSetup paperSize="9" scale="84" fitToHeight="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2"/>
  <sheetViews>
    <sheetView tabSelected="1" workbookViewId="0">
      <selection activeCell="G9" sqref="G9"/>
    </sheetView>
  </sheetViews>
  <sheetFormatPr defaultRowHeight="15" x14ac:dyDescent="0.25"/>
  <cols>
    <col min="1" max="1" width="23.140625" customWidth="1"/>
    <col min="3" max="3" width="17.85546875" customWidth="1"/>
    <col min="4" max="4" width="12.28515625" customWidth="1"/>
    <col min="5" max="5" width="11.7109375" customWidth="1"/>
    <col min="8" max="8" width="11.5703125" customWidth="1"/>
    <col min="10" max="10" width="21" customWidth="1"/>
  </cols>
  <sheetData>
    <row r="1" spans="1:10" x14ac:dyDescent="0.25">
      <c r="A1" s="352" t="s">
        <v>0</v>
      </c>
      <c r="B1" s="353"/>
      <c r="C1" s="353"/>
      <c r="D1" s="353"/>
      <c r="E1" s="353"/>
      <c r="F1" s="353"/>
      <c r="G1" s="353"/>
      <c r="H1" s="353"/>
      <c r="I1" s="353"/>
      <c r="J1" s="354"/>
    </row>
    <row r="2" spans="1:10" x14ac:dyDescent="0.25">
      <c r="A2" s="355" t="s">
        <v>76</v>
      </c>
      <c r="B2" s="356"/>
      <c r="C2" s="356"/>
      <c r="D2" s="356"/>
      <c r="E2" s="356"/>
      <c r="F2" s="356"/>
      <c r="G2" s="356"/>
      <c r="H2" s="356"/>
      <c r="I2" s="356"/>
      <c r="J2" s="357"/>
    </row>
    <row r="3" spans="1:10" x14ac:dyDescent="0.25">
      <c r="A3" s="355" t="s">
        <v>77</v>
      </c>
      <c r="B3" s="356"/>
      <c r="C3" s="356"/>
      <c r="D3" s="356"/>
      <c r="E3" s="356"/>
      <c r="F3" s="356"/>
      <c r="G3" s="356"/>
      <c r="H3" s="356"/>
      <c r="I3" s="356"/>
      <c r="J3" s="357"/>
    </row>
    <row r="4" spans="1:10" x14ac:dyDescent="0.25">
      <c r="A4" s="355"/>
      <c r="B4" s="356"/>
      <c r="C4" s="356"/>
      <c r="D4" s="356"/>
      <c r="E4" s="356"/>
      <c r="F4" s="356"/>
      <c r="G4" s="356"/>
      <c r="H4" s="356"/>
      <c r="I4" s="356"/>
      <c r="J4" s="357"/>
    </row>
    <row r="5" spans="1:10" ht="33" x14ac:dyDescent="0.25">
      <c r="A5" s="4" t="s">
        <v>78</v>
      </c>
      <c r="B5" s="5" t="s">
        <v>79</v>
      </c>
      <c r="C5" s="6" t="s">
        <v>80</v>
      </c>
      <c r="D5" s="6" t="s">
        <v>81</v>
      </c>
      <c r="E5" s="6" t="s">
        <v>82</v>
      </c>
      <c r="F5" s="6" t="s">
        <v>83</v>
      </c>
      <c r="G5" s="6" t="s">
        <v>84</v>
      </c>
      <c r="H5" s="6" t="s">
        <v>85</v>
      </c>
      <c r="I5" s="6" t="s">
        <v>86</v>
      </c>
      <c r="J5" s="7" t="s">
        <v>87</v>
      </c>
    </row>
    <row r="6" spans="1:10" ht="17.25" thickBot="1" x14ac:dyDescent="0.3">
      <c r="A6" s="8">
        <v>3</v>
      </c>
      <c r="B6" s="9">
        <v>6.16</v>
      </c>
      <c r="C6" s="9">
        <v>0.28000000000000003</v>
      </c>
      <c r="D6" s="9">
        <v>0.12</v>
      </c>
      <c r="E6" s="9">
        <v>0.97</v>
      </c>
      <c r="F6" s="9">
        <v>2.4</v>
      </c>
      <c r="G6" s="9">
        <v>0.65</v>
      </c>
      <c r="H6" s="9">
        <v>3</v>
      </c>
      <c r="I6" s="9">
        <v>4.5</v>
      </c>
      <c r="J6" s="10">
        <v>23.88</v>
      </c>
    </row>
    <row r="7" spans="1:10" x14ac:dyDescent="0.25">
      <c r="A7" s="11" t="s">
        <v>88</v>
      </c>
      <c r="J7" s="12"/>
    </row>
    <row r="8" spans="1:10" x14ac:dyDescent="0.25">
      <c r="A8" s="13"/>
      <c r="B8" s="14"/>
      <c r="C8" s="14"/>
      <c r="E8" s="3"/>
      <c r="F8" s="15"/>
      <c r="G8" s="16"/>
      <c r="H8" s="17"/>
      <c r="J8" s="12"/>
    </row>
    <row r="9" spans="1:10" ht="30" customHeight="1" x14ac:dyDescent="0.25">
      <c r="A9" s="13"/>
      <c r="B9" s="14"/>
      <c r="C9" s="350" t="s">
        <v>89</v>
      </c>
      <c r="D9" s="350"/>
      <c r="E9" s="350"/>
      <c r="F9" s="3"/>
      <c r="G9" s="16"/>
      <c r="H9" s="17"/>
      <c r="J9" s="12"/>
    </row>
    <row r="10" spans="1:10" ht="15" customHeight="1" x14ac:dyDescent="0.25">
      <c r="A10" s="13"/>
      <c r="B10" s="14"/>
      <c r="C10" s="351" t="s">
        <v>226</v>
      </c>
      <c r="D10" s="351"/>
      <c r="E10" s="351"/>
      <c r="F10" s="85"/>
      <c r="G10" s="16"/>
      <c r="H10" s="17"/>
      <c r="J10" s="12"/>
    </row>
    <row r="11" spans="1:10" ht="15" customHeight="1" x14ac:dyDescent="0.25">
      <c r="A11" s="18"/>
      <c r="B11" s="19"/>
      <c r="C11" s="351" t="s">
        <v>225</v>
      </c>
      <c r="D11" s="351"/>
      <c r="E11" s="351"/>
      <c r="F11" s="85"/>
      <c r="G11" s="19"/>
      <c r="H11" s="20"/>
      <c r="J11" s="12"/>
    </row>
    <row r="12" spans="1:10" ht="15.75" thickBot="1" x14ac:dyDescent="0.3">
      <c r="A12" s="21"/>
      <c r="B12" s="22"/>
      <c r="C12" s="23"/>
      <c r="D12" s="1"/>
      <c r="E12" s="2"/>
      <c r="F12" s="23"/>
      <c r="G12" s="22"/>
      <c r="H12" s="24"/>
      <c r="I12" s="1"/>
      <c r="J12" s="25"/>
    </row>
  </sheetData>
  <mergeCells count="7">
    <mergeCell ref="C9:E9"/>
    <mergeCell ref="C10:E10"/>
    <mergeCell ref="C11:E11"/>
    <mergeCell ref="A1:J1"/>
    <mergeCell ref="A2:J2"/>
    <mergeCell ref="A3:J3"/>
    <mergeCell ref="A4:J4"/>
  </mergeCells>
  <pageMargins left="0.511811024" right="0.511811024" top="0.78740157499999996" bottom="0.78740157499999996" header="0.31496062000000002" footer="0.31496062000000002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MEMÓRIA DE CÁLCULO</vt:lpstr>
      <vt:lpstr>ORÇAMENTO </vt:lpstr>
      <vt:lpstr>CRONOGRAMA</vt:lpstr>
      <vt:lpstr>BDI</vt:lpstr>
      <vt:lpstr>CRONOGRAMA!Area_de_impressao</vt:lpstr>
      <vt:lpstr>'MEMÓRIA DE CÁLCULO'!Area_de_impressao</vt:lpstr>
      <vt:lpstr>'ORÇAMENTO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Drielid Rocha</cp:lastModifiedBy>
  <cp:revision/>
  <cp:lastPrinted>2022-05-19T12:42:46Z</cp:lastPrinted>
  <dcterms:created xsi:type="dcterms:W3CDTF">2017-11-14T15:22:18Z</dcterms:created>
  <dcterms:modified xsi:type="dcterms:W3CDTF">2022-06-06T19:37:35Z</dcterms:modified>
  <cp:category/>
  <cp:contentStatus/>
</cp:coreProperties>
</file>