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14040" windowHeight="12075" activeTab="3"/>
  </bookViews>
  <sheets>
    <sheet name="ORÇAMENTO" sheetId="1" r:id="rId1"/>
    <sheet name="MEMÓRIA DE CÁLCULO" sheetId="2" r:id="rId2"/>
    <sheet name="CRONOGRAMA" sheetId="7" r:id="rId3"/>
    <sheet name="BDI (23,88%)" sheetId="9" r:id="rId4"/>
  </sheets>
  <definedNames>
    <definedName name="_xlnm._FilterDatabase" localSheetId="0" hidden="1">ORÇAMENTO!#REF!</definedName>
    <definedName name="BDI" localSheetId="3">('BDI (23,88%)'!$J$14/100)+1</definedName>
    <definedName name="BDI">ORÇAMENTO!$D$12/100</definedName>
    <definedName name="VALOR_TOTAL">ORÇAMENTO!$I$113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7" i="7" l="1"/>
  <c r="A30" i="7" s="1"/>
  <c r="A33" i="7" s="1"/>
  <c r="A36" i="7" s="1"/>
  <c r="A39" i="7" s="1"/>
  <c r="A42" i="7" s="1"/>
  <c r="A45" i="7" s="1"/>
  <c r="A48" i="7" s="1"/>
  <c r="D102" i="2" l="1"/>
  <c r="E63" i="1"/>
  <c r="I63" i="1" s="1"/>
  <c r="B116" i="2"/>
  <c r="C116" i="2"/>
  <c r="A114" i="2"/>
  <c r="A115" i="2"/>
  <c r="A116" i="2"/>
  <c r="A117" i="2"/>
  <c r="A118" i="2"/>
  <c r="A119" i="2"/>
  <c r="A120" i="2"/>
  <c r="D23" i="2"/>
  <c r="D203" i="2"/>
  <c r="D205" i="2" s="1"/>
  <c r="D199" i="2"/>
  <c r="D200" i="2" s="1"/>
  <c r="D10" i="7"/>
  <c r="B10" i="2"/>
  <c r="D10" i="9" s="1"/>
  <c r="D235" i="2"/>
  <c r="C196" i="2"/>
  <c r="B196" i="2"/>
  <c r="A196" i="2"/>
  <c r="D195" i="2"/>
  <c r="D180" i="2"/>
  <c r="D175" i="2"/>
  <c r="D176" i="2"/>
  <c r="D181" i="2"/>
  <c r="D156" i="2"/>
  <c r="D134" i="2"/>
  <c r="E72" i="1" s="1"/>
  <c r="D128" i="2"/>
  <c r="E71" i="1" s="1"/>
  <c r="I71" i="1" s="1"/>
  <c r="C123" i="2"/>
  <c r="B123" i="2"/>
  <c r="A123" i="2"/>
  <c r="E67" i="1"/>
  <c r="I67" i="1" s="1"/>
  <c r="C120" i="2"/>
  <c r="B120" i="2"/>
  <c r="D182" i="2" l="1"/>
  <c r="D177" i="2"/>
  <c r="D206" i="2"/>
  <c r="E95" i="1" s="1"/>
  <c r="I95" i="1" s="1"/>
  <c r="D87" i="2"/>
  <c r="D88" i="2" s="1"/>
  <c r="D81" i="2"/>
  <c r="D82" i="2" s="1"/>
  <c r="D75" i="2"/>
  <c r="D76" i="2" s="1"/>
  <c r="D69" i="2"/>
  <c r="D70" i="2" s="1"/>
  <c r="D62" i="2"/>
  <c r="D57" i="2"/>
  <c r="D55" i="2"/>
  <c r="D18" i="2"/>
  <c r="E16" i="1" s="1"/>
  <c r="I16" i="1" s="1"/>
  <c r="C15" i="2"/>
  <c r="B15" i="2"/>
  <c r="A15" i="2"/>
  <c r="B11" i="2"/>
  <c r="C231" i="2" l="1"/>
  <c r="B48" i="7" l="1"/>
  <c r="B45" i="7"/>
  <c r="B42" i="7"/>
  <c r="B39" i="7"/>
  <c r="B36" i="7"/>
  <c r="B33" i="7"/>
  <c r="D239" i="2"/>
  <c r="E108" i="1" s="1"/>
  <c r="I108" i="1" s="1"/>
  <c r="C237" i="2"/>
  <c r="B237" i="2"/>
  <c r="A237" i="2"/>
  <c r="E62" i="1"/>
  <c r="I62" i="1" s="1"/>
  <c r="E64" i="1"/>
  <c r="I64" i="1" s="1"/>
  <c r="E65" i="1"/>
  <c r="I65" i="1" s="1"/>
  <c r="E66" i="1"/>
  <c r="I66" i="1" s="1"/>
  <c r="E60" i="1"/>
  <c r="I60" i="1" s="1"/>
  <c r="E61" i="1"/>
  <c r="I61" i="1" s="1"/>
  <c r="B114" i="2"/>
  <c r="C114" i="2"/>
  <c r="B115" i="2"/>
  <c r="C115" i="2"/>
  <c r="B117" i="2"/>
  <c r="C117" i="2"/>
  <c r="B118" i="2"/>
  <c r="C118" i="2"/>
  <c r="B119" i="2"/>
  <c r="C119" i="2"/>
  <c r="C113" i="2"/>
  <c r="B113" i="2"/>
  <c r="A113" i="2"/>
  <c r="I68" i="1" l="1"/>
  <c r="E94" i="1"/>
  <c r="D236" i="2"/>
  <c r="E107" i="1" s="1"/>
  <c r="I107" i="1" s="1"/>
  <c r="C234" i="2"/>
  <c r="B234" i="2"/>
  <c r="A234" i="2"/>
  <c r="E106" i="1"/>
  <c r="I106" i="1" s="1"/>
  <c r="B231" i="2"/>
  <c r="A231" i="2"/>
  <c r="D233" i="2"/>
  <c r="C228" i="2"/>
  <c r="B228" i="2"/>
  <c r="A228" i="2"/>
  <c r="D227" i="2"/>
  <c r="E104" i="1" s="1"/>
  <c r="I104" i="1" s="1"/>
  <c r="D230" i="2"/>
  <c r="E105" i="1" s="1"/>
  <c r="I105" i="1" s="1"/>
  <c r="C225" i="2"/>
  <c r="B225" i="2"/>
  <c r="A225" i="2"/>
  <c r="C218" i="2"/>
  <c r="B218" i="2"/>
  <c r="A218" i="2"/>
  <c r="D220" i="2"/>
  <c r="E102" i="1" s="1"/>
  <c r="I102" i="1" s="1"/>
  <c r="D214" i="2"/>
  <c r="E100" i="1" s="1"/>
  <c r="C209" i="2"/>
  <c r="B209" i="2"/>
  <c r="A209" i="2"/>
  <c r="D152" i="2"/>
  <c r="E79" i="1" s="1"/>
  <c r="C149" i="2"/>
  <c r="B149" i="2"/>
  <c r="A149" i="2"/>
  <c r="C146" i="2"/>
  <c r="B146" i="2"/>
  <c r="A146" i="2"/>
  <c r="C143" i="2"/>
  <c r="B143" i="2"/>
  <c r="A143" i="2"/>
  <c r="D148" i="2"/>
  <c r="D145" i="2"/>
  <c r="E77" i="1" s="1"/>
  <c r="E78" i="1" l="1"/>
  <c r="D50" i="2"/>
  <c r="D224" i="2"/>
  <c r="E103" i="1" s="1"/>
  <c r="I103" i="1" s="1"/>
  <c r="D217" i="2"/>
  <c r="E101" i="1" s="1"/>
  <c r="I101" i="1" s="1"/>
  <c r="C221" i="2"/>
  <c r="B221" i="2"/>
  <c r="A221" i="2"/>
  <c r="C215" i="2"/>
  <c r="B215" i="2"/>
  <c r="A215" i="2"/>
  <c r="I100" i="1"/>
  <c r="C212" i="2"/>
  <c r="B212" i="2"/>
  <c r="A212" i="2"/>
  <c r="E31" i="1"/>
  <c r="E33" i="1"/>
  <c r="I33" i="1" s="1"/>
  <c r="C59" i="2"/>
  <c r="B59" i="2"/>
  <c r="A59" i="2"/>
  <c r="D187" i="2" l="1"/>
  <c r="D188" i="2" s="1"/>
  <c r="D189" i="2" s="1"/>
  <c r="D169" i="2"/>
  <c r="E89" i="1" s="1"/>
  <c r="E93" i="1" l="1"/>
  <c r="I93" i="1" s="1"/>
  <c r="C190" i="2"/>
  <c r="B190" i="2"/>
  <c r="A190" i="2"/>
  <c r="C172" i="2"/>
  <c r="B172" i="2"/>
  <c r="A172" i="2"/>
  <c r="I94" i="1"/>
  <c r="I89" i="1"/>
  <c r="C166" i="2"/>
  <c r="B166" i="2"/>
  <c r="A166" i="2"/>
  <c r="C161" i="2"/>
  <c r="B161" i="2"/>
  <c r="A161" i="2"/>
  <c r="D163" i="2"/>
  <c r="E85" i="1" s="1"/>
  <c r="I85" i="1" s="1"/>
  <c r="D160" i="2"/>
  <c r="E84" i="1" s="1"/>
  <c r="I84" i="1" s="1"/>
  <c r="C158" i="2"/>
  <c r="B158" i="2"/>
  <c r="A158" i="2"/>
  <c r="I78" i="1"/>
  <c r="I79" i="1"/>
  <c r="I77" i="1"/>
  <c r="D157" i="2"/>
  <c r="E83" i="1" s="1"/>
  <c r="I83" i="1" s="1"/>
  <c r="C155" i="2"/>
  <c r="A155" i="2"/>
  <c r="B155" i="2"/>
  <c r="B153" i="2"/>
  <c r="A153" i="2"/>
  <c r="I96" i="1" l="1"/>
  <c r="C45" i="7" l="1"/>
  <c r="J96" i="1"/>
  <c r="C47" i="7" s="1"/>
  <c r="B141" i="2"/>
  <c r="A141" i="2"/>
  <c r="E47" i="7" l="1"/>
  <c r="F47" i="7"/>
  <c r="D140" i="2"/>
  <c r="E73" i="1" s="1"/>
  <c r="I73" i="1" s="1"/>
  <c r="C135" i="2"/>
  <c r="B135" i="2"/>
  <c r="A135" i="2"/>
  <c r="I72" i="1"/>
  <c r="I74" i="1" s="1"/>
  <c r="C129" i="2"/>
  <c r="B129" i="2"/>
  <c r="A129" i="2"/>
  <c r="C33" i="7" l="1"/>
  <c r="J74" i="1"/>
  <c r="C35" i="7" s="1"/>
  <c r="E48" i="1"/>
  <c r="I48" i="1" s="1"/>
  <c r="E56" i="1"/>
  <c r="I56" i="1" s="1"/>
  <c r="C110" i="2"/>
  <c r="B110" i="2"/>
  <c r="E55" i="1"/>
  <c r="I55" i="1" s="1"/>
  <c r="C109" i="2"/>
  <c r="B109" i="2"/>
  <c r="E53" i="1"/>
  <c r="I53" i="1" s="1"/>
  <c r="D94" i="2"/>
  <c r="D96" i="2" s="1"/>
  <c r="E50" i="1"/>
  <c r="I50" i="1" s="1"/>
  <c r="E46" i="1"/>
  <c r="I46" i="1" s="1"/>
  <c r="E45" i="1"/>
  <c r="I45" i="1" s="1"/>
  <c r="E49" i="1"/>
  <c r="I49" i="1" s="1"/>
  <c r="E51" i="1"/>
  <c r="I51" i="1" s="1"/>
  <c r="E52" i="1"/>
  <c r="I52" i="1" s="1"/>
  <c r="E54" i="1"/>
  <c r="I54" i="1" s="1"/>
  <c r="C100" i="2"/>
  <c r="C101" i="2"/>
  <c r="C102" i="2"/>
  <c r="C103" i="2"/>
  <c r="C104" i="2"/>
  <c r="C105" i="2"/>
  <c r="C106" i="2"/>
  <c r="C107" i="2"/>
  <c r="C108" i="2"/>
  <c r="B100" i="2"/>
  <c r="B101" i="2"/>
  <c r="B102" i="2"/>
  <c r="B103" i="2"/>
  <c r="B104" i="2"/>
  <c r="B105" i="2"/>
  <c r="B106" i="2"/>
  <c r="B107" i="2"/>
  <c r="B108" i="2"/>
  <c r="A100" i="2"/>
  <c r="A101" i="2"/>
  <c r="A102" i="2"/>
  <c r="A103" i="2"/>
  <c r="A104" i="2"/>
  <c r="A105" i="2"/>
  <c r="A106" i="2"/>
  <c r="A107" i="2"/>
  <c r="A108" i="2"/>
  <c r="A109" i="2"/>
  <c r="A110" i="2"/>
  <c r="C99" i="2"/>
  <c r="B99" i="2"/>
  <c r="A99" i="2"/>
  <c r="E35" i="7" l="1"/>
  <c r="F35" i="7"/>
  <c r="E47" i="1"/>
  <c r="I47" i="1" l="1"/>
  <c r="I57" i="1" s="1"/>
  <c r="J57" i="1" s="1"/>
  <c r="C29" i="7" s="1"/>
  <c r="C11" i="9"/>
  <c r="D8" i="9"/>
  <c r="D7" i="9"/>
  <c r="C7" i="9"/>
  <c r="D6" i="9"/>
  <c r="C6" i="9"/>
  <c r="D5" i="9"/>
  <c r="C5" i="9"/>
  <c r="D4" i="9"/>
  <c r="C4" i="9"/>
  <c r="D3" i="9"/>
  <c r="C3" i="9"/>
  <c r="G48" i="7"/>
  <c r="G45" i="7"/>
  <c r="G42" i="7"/>
  <c r="G39" i="7"/>
  <c r="G36" i="7"/>
  <c r="G33" i="7"/>
  <c r="G30" i="7"/>
  <c r="B30" i="7"/>
  <c r="G27" i="7"/>
  <c r="B27" i="7"/>
  <c r="G24" i="7"/>
  <c r="B24" i="7"/>
  <c r="G21" i="7"/>
  <c r="B21" i="7"/>
  <c r="B18" i="7"/>
  <c r="A15" i="7"/>
  <c r="A18" i="7" s="1"/>
  <c r="A21" i="7" s="1"/>
  <c r="A24" i="7" s="1"/>
  <c r="C11" i="7"/>
  <c r="D8" i="7"/>
  <c r="D7" i="7"/>
  <c r="C7" i="7"/>
  <c r="D6" i="7"/>
  <c r="C6" i="7"/>
  <c r="D5" i="7"/>
  <c r="C5" i="7"/>
  <c r="D4" i="7"/>
  <c r="C4" i="7"/>
  <c r="D3" i="7"/>
  <c r="C3" i="7"/>
  <c r="A207" i="2"/>
  <c r="A170" i="2"/>
  <c r="A164" i="2"/>
  <c r="C89" i="2"/>
  <c r="B89" i="2"/>
  <c r="A89" i="2"/>
  <c r="C83" i="2"/>
  <c r="B83" i="2"/>
  <c r="A83" i="2"/>
  <c r="C77" i="2"/>
  <c r="B77" i="2"/>
  <c r="A77" i="2"/>
  <c r="C71" i="2"/>
  <c r="B71" i="2"/>
  <c r="A71" i="2"/>
  <c r="C65" i="2"/>
  <c r="B65" i="2"/>
  <c r="A65" i="2"/>
  <c r="D58" i="2"/>
  <c r="E32" i="1" s="1"/>
  <c r="I32" i="1" s="1"/>
  <c r="C56" i="2"/>
  <c r="B56" i="2"/>
  <c r="A56" i="2"/>
  <c r="C52" i="2"/>
  <c r="B52" i="2"/>
  <c r="A52" i="2"/>
  <c r="C49" i="2"/>
  <c r="B49" i="2"/>
  <c r="A49" i="2"/>
  <c r="C43" i="2"/>
  <c r="B43" i="2"/>
  <c r="A43" i="2"/>
  <c r="C40" i="2"/>
  <c r="B40" i="2"/>
  <c r="A40" i="2"/>
  <c r="D37" i="2"/>
  <c r="E21" i="1" s="1"/>
  <c r="I21" i="1" s="1"/>
  <c r="C35" i="2"/>
  <c r="B35" i="2"/>
  <c r="A35" i="2"/>
  <c r="C30" i="2"/>
  <c r="B30" i="2"/>
  <c r="A30" i="2"/>
  <c r="C25" i="2"/>
  <c r="B25" i="2"/>
  <c r="A25" i="2"/>
  <c r="D24" i="2"/>
  <c r="C22" i="2"/>
  <c r="B22" i="2"/>
  <c r="A22" i="2"/>
  <c r="D21" i="2"/>
  <c r="D41" i="2" s="1"/>
  <c r="C19" i="2"/>
  <c r="B19" i="2"/>
  <c r="A19" i="2"/>
  <c r="A11" i="2"/>
  <c r="B9" i="2"/>
  <c r="D9" i="7" s="1"/>
  <c r="B8" i="2"/>
  <c r="B7" i="2"/>
  <c r="A7" i="2"/>
  <c r="B6" i="2"/>
  <c r="A6" i="2"/>
  <c r="B5" i="2"/>
  <c r="A5" i="2"/>
  <c r="A4" i="2"/>
  <c r="B3" i="2"/>
  <c r="A3" i="2"/>
  <c r="K109" i="1"/>
  <c r="K98" i="1"/>
  <c r="J98" i="1"/>
  <c r="K96" i="1"/>
  <c r="K92" i="1"/>
  <c r="J92" i="1"/>
  <c r="K90" i="1"/>
  <c r="I90" i="1"/>
  <c r="K88" i="1"/>
  <c r="J88" i="1"/>
  <c r="K86" i="1"/>
  <c r="I86" i="1"/>
  <c r="K82" i="1"/>
  <c r="J82" i="1"/>
  <c r="K80" i="1"/>
  <c r="I80" i="1"/>
  <c r="K76" i="1"/>
  <c r="J76" i="1"/>
  <c r="K74" i="1"/>
  <c r="K70" i="1"/>
  <c r="J70" i="1"/>
  <c r="K69" i="1"/>
  <c r="J69" i="1"/>
  <c r="K68" i="1"/>
  <c r="J68" i="1"/>
  <c r="C32" i="7" s="1"/>
  <c r="K59" i="1"/>
  <c r="J59" i="1"/>
  <c r="K57" i="1"/>
  <c r="K44" i="1"/>
  <c r="J44" i="1"/>
  <c r="K42" i="1"/>
  <c r="E41" i="1"/>
  <c r="I41" i="1" s="1"/>
  <c r="K36" i="1"/>
  <c r="J36" i="1"/>
  <c r="K34" i="1"/>
  <c r="I31" i="1"/>
  <c r="K29" i="1"/>
  <c r="J29" i="1"/>
  <c r="K27" i="1"/>
  <c r="K24" i="1"/>
  <c r="J24" i="1"/>
  <c r="K22" i="1"/>
  <c r="D44" i="2" l="1"/>
  <c r="D46" i="2" s="1"/>
  <c r="E26" i="1" s="1"/>
  <c r="I26" i="1" s="1"/>
  <c r="D26" i="2"/>
  <c r="D31" i="2"/>
  <c r="E29" i="7"/>
  <c r="F29" i="7"/>
  <c r="E32" i="7"/>
  <c r="F32" i="7"/>
  <c r="C42" i="7"/>
  <c r="J90" i="1"/>
  <c r="C44" i="7" s="1"/>
  <c r="C36" i="7"/>
  <c r="J80" i="1"/>
  <c r="C38" i="7" s="1"/>
  <c r="D38" i="7" s="1"/>
  <c r="C39" i="7"/>
  <c r="J86" i="1"/>
  <c r="C30" i="7"/>
  <c r="C27" i="7"/>
  <c r="D42" i="2"/>
  <c r="E25" i="1" s="1"/>
  <c r="I25" i="1" s="1"/>
  <c r="G18" i="7"/>
  <c r="G15" i="7"/>
  <c r="D51" i="2"/>
  <c r="E30" i="1" s="1"/>
  <c r="I30" i="1" s="1"/>
  <c r="I34" i="1" s="1"/>
  <c r="D11" i="9"/>
  <c r="L88" i="1"/>
  <c r="L59" i="1"/>
  <c r="L82" i="1"/>
  <c r="L74" i="1"/>
  <c r="L24" i="1"/>
  <c r="L68" i="1"/>
  <c r="L76" i="1"/>
  <c r="L70" i="1"/>
  <c r="L92" i="1"/>
  <c r="L44" i="1"/>
  <c r="L29" i="1"/>
  <c r="L96" i="1"/>
  <c r="E17" i="1"/>
  <c r="I17" i="1" s="1"/>
  <c r="E39" i="1"/>
  <c r="I39" i="1" s="1"/>
  <c r="E18" i="1"/>
  <c r="I18" i="1" s="1"/>
  <c r="E37" i="1"/>
  <c r="I37" i="1" s="1"/>
  <c r="E38" i="1"/>
  <c r="I38" i="1" s="1"/>
  <c r="E40" i="1"/>
  <c r="I40" i="1" s="1"/>
  <c r="L69" i="1"/>
  <c r="L98" i="1"/>
  <c r="L57" i="1"/>
  <c r="D35" i="7"/>
  <c r="D11" i="7"/>
  <c r="L36" i="1"/>
  <c r="D47" i="7"/>
  <c r="D9" i="9"/>
  <c r="L90" i="1" l="1"/>
  <c r="I42" i="1"/>
  <c r="I27" i="1"/>
  <c r="J27" i="1" s="1"/>
  <c r="C20" i="7" s="1"/>
  <c r="E44" i="7"/>
  <c r="F44" i="7"/>
  <c r="L86" i="1"/>
  <c r="C41" i="7"/>
  <c r="L80" i="1"/>
  <c r="E38" i="7"/>
  <c r="F38" i="7"/>
  <c r="C21" i="7"/>
  <c r="J34" i="1"/>
  <c r="D29" i="7"/>
  <c r="D32" i="7"/>
  <c r="J42" i="1" l="1"/>
  <c r="L42" i="1" s="1"/>
  <c r="M109" i="1"/>
  <c r="N109" i="1" s="1"/>
  <c r="O109" i="1" s="1"/>
  <c r="C18" i="7"/>
  <c r="F20" i="7"/>
  <c r="E20" i="7"/>
  <c r="L27" i="1"/>
  <c r="L34" i="1"/>
  <c r="C23" i="7"/>
  <c r="E41" i="7"/>
  <c r="F41" i="7"/>
  <c r="D41" i="7"/>
  <c r="C24" i="7"/>
  <c r="D20" i="7"/>
  <c r="C26" i="7" l="1"/>
  <c r="D26" i="7" s="1"/>
  <c r="D210" i="2"/>
  <c r="D211" i="2" s="1"/>
  <c r="E99" i="1" s="1"/>
  <c r="I99" i="1" s="1"/>
  <c r="D32" i="2"/>
  <c r="D27" i="2"/>
  <c r="D29" i="2" s="1"/>
  <c r="E19" i="1" s="1"/>
  <c r="I19" i="1" s="1"/>
  <c r="F23" i="7"/>
  <c r="E23" i="7"/>
  <c r="D23" i="7"/>
  <c r="D44" i="7"/>
  <c r="D34" i="2"/>
  <c r="E20" i="1" s="1"/>
  <c r="I20" i="1" s="1"/>
  <c r="F26" i="7" l="1"/>
  <c r="E26" i="7"/>
  <c r="I22" i="1"/>
  <c r="I109" i="1"/>
  <c r="I111" i="1" l="1"/>
  <c r="C48" i="7"/>
  <c r="J109" i="1"/>
  <c r="C15" i="7"/>
  <c r="J22" i="1"/>
  <c r="I112" i="1" l="1"/>
  <c r="I113" i="1" s="1"/>
  <c r="M90" i="1"/>
  <c r="J112" i="1"/>
  <c r="L22" i="1"/>
  <c r="C17" i="7"/>
  <c r="C50" i="7"/>
  <c r="E50" i="7" l="1"/>
  <c r="F50" i="7"/>
  <c r="D50" i="7"/>
  <c r="E17" i="7"/>
  <c r="F17" i="7"/>
  <c r="F54" i="7" s="1"/>
  <c r="D17" i="7"/>
  <c r="D54" i="7" s="1"/>
  <c r="E54" i="7" l="1"/>
  <c r="E52" i="7" s="1"/>
  <c r="D55" i="7"/>
  <c r="F52" i="7"/>
  <c r="D52" i="7" l="1"/>
  <c r="D53" i="7" s="1"/>
  <c r="E53" i="7" s="1"/>
  <c r="F53" i="7" s="1"/>
  <c r="E55" i="7"/>
  <c r="F55" i="7" s="1"/>
  <c r="I45" i="7" l="1"/>
  <c r="I24" i="7"/>
  <c r="I21" i="7"/>
  <c r="I36" i="7"/>
  <c r="I15" i="7"/>
  <c r="I48" i="7"/>
  <c r="I27" i="7"/>
  <c r="I39" i="7"/>
  <c r="I30" i="7"/>
  <c r="I33" i="7"/>
  <c r="I42" i="7"/>
  <c r="I18" i="7"/>
</calcChain>
</file>

<file path=xl/sharedStrings.xml><?xml version="1.0" encoding="utf-8"?>
<sst xmlns="http://schemas.openxmlformats.org/spreadsheetml/2006/main" count="788" uniqueCount="309">
  <si>
    <t>SECRETARIA MUNICIPAL DE OBRAS</t>
  </si>
  <si>
    <t>ITEM</t>
  </si>
  <si>
    <t xml:space="preserve">DESCRIÇÃO </t>
  </si>
  <si>
    <t>QUANT.</t>
  </si>
  <si>
    <t>UND.</t>
  </si>
  <si>
    <t xml:space="preserve">MATERIAL </t>
  </si>
  <si>
    <t>MÃO DE OBRA</t>
  </si>
  <si>
    <t xml:space="preserve">TOTAL </t>
  </si>
  <si>
    <t>GOINFRA</t>
  </si>
  <si>
    <t>SERVIÇOS PRELIMINARES</t>
  </si>
  <si>
    <t xml:space="preserve">m2 </t>
  </si>
  <si>
    <t>TRANSPORTES</t>
  </si>
  <si>
    <t>2.1</t>
  </si>
  <si>
    <t>SERVICO EM TERRA</t>
  </si>
  <si>
    <t xml:space="preserve">GOINFRA </t>
  </si>
  <si>
    <t>FUNDACOES E SONDAGENS</t>
  </si>
  <si>
    <t>INST. ELET./TELEFONICA/CABEAMENTO ESTRUTURADO</t>
  </si>
  <si>
    <t>INSTALAÇÕES HIDROSSANITÁRIAS</t>
  </si>
  <si>
    <t>ESTRUTURA DE MADEIRA</t>
  </si>
  <si>
    <t>REVESTIMENTO DE PISO</t>
  </si>
  <si>
    <t>FERRAGENS</t>
  </si>
  <si>
    <t>ADMINISTRAÇÃO - MENSALISTAS</t>
  </si>
  <si>
    <t>PINTURA</t>
  </si>
  <si>
    <t>DIVERSOS</t>
  </si>
  <si>
    <t>SINAPI</t>
  </si>
  <si>
    <t>Quantidade</t>
  </si>
  <si>
    <t>Duração da obra</t>
  </si>
  <si>
    <t xml:space="preserve">m3 </t>
  </si>
  <si>
    <t>m2</t>
  </si>
  <si>
    <t xml:space="preserve"> </t>
  </si>
  <si>
    <t>BDI</t>
  </si>
  <si>
    <t>und.</t>
  </si>
  <si>
    <t>Administração Central (%)</t>
  </si>
  <si>
    <t>Lucro (%)</t>
  </si>
  <si>
    <t>Despesas financeiras (%)</t>
  </si>
  <si>
    <t>Seguros + garantias (%)</t>
  </si>
  <si>
    <t>Riscos (%)</t>
  </si>
  <si>
    <t>ISS (%)</t>
  </si>
  <si>
    <t>PIS (%)</t>
  </si>
  <si>
    <t>COFINS (%)</t>
  </si>
  <si>
    <t>CPRB (%)</t>
  </si>
  <si>
    <t>Resultado (%)</t>
  </si>
  <si>
    <t>* A fórmula para estipulação da taxa de BDI estimado adotado é a mesma que foi aplicada para a obtenção das tabelas contidas no Acórdão n. 2.622/2013 – TCUPlenário</t>
  </si>
  <si>
    <t>2.2</t>
  </si>
  <si>
    <t>TABELA</t>
  </si>
  <si>
    <t>CÓD.</t>
  </si>
  <si>
    <t>SETOR</t>
  </si>
  <si>
    <t>PROCESSO</t>
  </si>
  <si>
    <t>OBJETO</t>
  </si>
  <si>
    <t>ENDEREÇO</t>
  </si>
  <si>
    <t>TABELAS</t>
  </si>
  <si>
    <t xml:space="preserve">DATA </t>
  </si>
  <si>
    <t>TOTAL DO GRUPO</t>
  </si>
  <si>
    <t>CUSTO TOTAL</t>
  </si>
  <si>
    <t>VALOR TOTAL COM BDI</t>
  </si>
  <si>
    <t>RESPONSABILIDADE TÉCNICA</t>
  </si>
  <si>
    <t>DESCRIÇÃO</t>
  </si>
  <si>
    <t>UNID.</t>
  </si>
  <si>
    <t>MEMÓRIA CÁLCULO</t>
  </si>
  <si>
    <t>SERVIÇOS</t>
  </si>
  <si>
    <t>PERCENTUAL GLOBAL MENSAL</t>
  </si>
  <si>
    <t>PERCENTUAL GLOBAL ACUMULADO</t>
  </si>
  <si>
    <t>VALOR MENSAL</t>
  </si>
  <si>
    <t>VALOR ACUMULADO</t>
  </si>
  <si>
    <t>MEMORIAL DE CÁLCULO</t>
  </si>
  <si>
    <t>SERVIÇOS EM TERRA</t>
  </si>
  <si>
    <t>FUNDAÇÕES E SONDAGENS</t>
  </si>
  <si>
    <t>INST. ELÉT./TELEFÔNICA/CABEAMENTO ESTRUTURADO</t>
  </si>
  <si>
    <t>INSTALAÇÕES HIDRO-SANITÁRIAS</t>
  </si>
  <si>
    <t>A</t>
  </si>
  <si>
    <t>B</t>
  </si>
  <si>
    <t>C</t>
  </si>
  <si>
    <t>ESTRUTURAS DE MADEIRA</t>
  </si>
  <si>
    <t>COMPOSIÇÃO BDI (BENEFÍCIOS E DISPESAS INDIRETAS)</t>
  </si>
  <si>
    <t>DURAÇÃO</t>
  </si>
  <si>
    <t>1º MÊS</t>
  </si>
  <si>
    <t>2º MÊS</t>
  </si>
  <si>
    <t>3º MÊS</t>
  </si>
  <si>
    <t>Total</t>
  </si>
  <si>
    <t>CRONOGRAMA FÍSICO E FINANCEIRO</t>
  </si>
  <si>
    <t>BDI (23,88 %)</t>
  </si>
  <si>
    <t xml:space="preserve">CENTRO DE ATENDIMENTO MÉDICO </t>
  </si>
  <si>
    <t xml:space="preserve">CONSUMO DE ÁGUA </t>
  </si>
  <si>
    <t xml:space="preserve">CONSUMO DE ENERGIA ELÉTRICA </t>
  </si>
  <si>
    <t xml:space="preserve">KWH </t>
  </si>
  <si>
    <t>1.1</t>
  </si>
  <si>
    <t>1.3</t>
  </si>
  <si>
    <t>1.4</t>
  </si>
  <si>
    <t>1.5</t>
  </si>
  <si>
    <t>1.6</t>
  </si>
  <si>
    <t>Área</t>
  </si>
  <si>
    <t>Área de intervenção</t>
  </si>
  <si>
    <t>Área de virtual</t>
  </si>
  <si>
    <t>Consumo</t>
  </si>
  <si>
    <t>Total (B*C)</t>
  </si>
  <si>
    <t>LOCACAO DE CONTAINER 2,30 X 6,00 M, ALT. 2,50 M, COM 1 SANITARIO, PARA ESCRITORIO, COMPLETO, SEM DIVISORIAS INTERNAS</t>
  </si>
  <si>
    <t xml:space="preserve">MES </t>
  </si>
  <si>
    <t>SINAPI - I</t>
  </si>
  <si>
    <t xml:space="preserve">TRANSPORTE DE ENTULHO EM CAMINHÃO INCLUSO A CARGA MANUAL </t>
  </si>
  <si>
    <t xml:space="preserve">TRANSPORTE DE ENTULHO CAÇAMBA ESTACIONÁRIA SEM CARGA </t>
  </si>
  <si>
    <t>Volume</t>
  </si>
  <si>
    <t>Limpeza do terreno</t>
  </si>
  <si>
    <t xml:space="preserve">Porcentagem </t>
  </si>
  <si>
    <t>Total (A*B)</t>
  </si>
  <si>
    <t xml:space="preserve">APILOAMENTO MECÂNICO </t>
  </si>
  <si>
    <t xml:space="preserve">CARGA MECANIZADA </t>
  </si>
  <si>
    <t>3.1</t>
  </si>
  <si>
    <t>3.2</t>
  </si>
  <si>
    <t>3.3</t>
  </si>
  <si>
    <t>3.4</t>
  </si>
  <si>
    <t xml:space="preserve">M </t>
  </si>
  <si>
    <t xml:space="preserve">ESCAVACAO MANUAL DE VALAS (SAPATAS/BLOCOS) </t>
  </si>
  <si>
    <t xml:space="preserve">APILOAMENTO (BLOCOS/SAPATAS) </t>
  </si>
  <si>
    <t xml:space="preserve">PREPARO COM BETONEIRA E TRANSPORTE MANUAL DE CONCRETO FCK=25 MPA </t>
  </si>
  <si>
    <t xml:space="preserve">LANÇAMENTO/APLICAÇÃO/ADENSAMENTO MANUAL DE CONCRETO - (O.C.) </t>
  </si>
  <si>
    <t xml:space="preserve">ACO CA 50-A - 8,0 MM (5/16") - (OBRAS CIVIS) </t>
  </si>
  <si>
    <t>4.1</t>
  </si>
  <si>
    <t>4.2</t>
  </si>
  <si>
    <t>4.3</t>
  </si>
  <si>
    <t>4.4</t>
  </si>
  <si>
    <t>4.5</t>
  </si>
  <si>
    <t>5.1</t>
  </si>
  <si>
    <t>Quantidade de blocos</t>
  </si>
  <si>
    <t>Quantidade de pergolados</t>
  </si>
  <si>
    <t>Volume do bloco</t>
  </si>
  <si>
    <t>Subtotal</t>
  </si>
  <si>
    <t>Área do bloco</t>
  </si>
  <si>
    <t>m</t>
  </si>
  <si>
    <t>Peso</t>
  </si>
  <si>
    <t>Massa linear (Kg/m)</t>
  </si>
  <si>
    <t>(Kg/m)</t>
  </si>
  <si>
    <t xml:space="preserve">CAIXA DE PASSAGEM - TAMPA EM CONCRETO ARMADO 25 MPA E=5CM </t>
  </si>
  <si>
    <t xml:space="preserve">CAIXA DE PASSAGEM 20X20X25CM FUNDO BRITA SEM TAMPA </t>
  </si>
  <si>
    <t xml:space="preserve">ELETRODUTO PVC FLEXÍVEL - MANGUEIRA CORRUGADA REFORÇADA - DIAM. 40MM </t>
  </si>
  <si>
    <t xml:space="preserve">CABO EPR/XLPE (90°C) 1KV - 10MM2 </t>
  </si>
  <si>
    <t xml:space="preserve">HASTE REV.COBRE(COPPERWELD) 5/8" X 3,00 M C/CONECTOR </t>
  </si>
  <si>
    <t xml:space="preserve">RELE FOTO ELETRICO COM BASE </t>
  </si>
  <si>
    <t>6.1</t>
  </si>
  <si>
    <t>6.2</t>
  </si>
  <si>
    <t>6.3</t>
  </si>
  <si>
    <t>6.4</t>
  </si>
  <si>
    <t>6.5</t>
  </si>
  <si>
    <t>6.6</t>
  </si>
  <si>
    <t>6.7</t>
  </si>
  <si>
    <t>6.8</t>
  </si>
  <si>
    <t>LUMINÁRIA DE LED PARA ILUMINAÇÃO PÚBLICA, DE 98 W ATÉ 137 W - FORNECIMENTO E INSTALAÇÃO. AF_08/2020</t>
  </si>
  <si>
    <t xml:space="preserve">SUPORTE PARA 4 PÉTALAS PARA LUMINÁRIA DE ILUMINAÇÃO PÚBLICA </t>
  </si>
  <si>
    <t xml:space="preserve">Cosumo </t>
  </si>
  <si>
    <t>m³/m²</t>
  </si>
  <si>
    <t>Kwh/m²</t>
  </si>
  <si>
    <t>%</t>
  </si>
  <si>
    <t>VIGOTA DE MADEIRA 6x16</t>
  </si>
  <si>
    <t xml:space="preserve"> m </t>
  </si>
  <si>
    <t>GOINFRA - I</t>
  </si>
  <si>
    <t>Comprimento</t>
  </si>
  <si>
    <t xml:space="preserve">Comprimento de vigota por pergolado </t>
  </si>
  <si>
    <t>Quantide de pilares por pergolado</t>
  </si>
  <si>
    <t xml:space="preserve">Comprimento do pilar </t>
  </si>
  <si>
    <t>PASSEIO PROTECAO EM CONC.DESEMPEN.5 CM 1:2,5:3,5 ( INCLUSO ESPELHO DE 30CM/ESCAVAÇÃO/REATERRO/APILOAMENTO/ATERRO INTERNO)</t>
  </si>
  <si>
    <t xml:space="preserve">PISO CONCRETO DESEMPENADO ESPESSURA = 5 CM 1:2,5:3,5 </t>
  </si>
  <si>
    <t>Kg</t>
  </si>
  <si>
    <t xml:space="preserve">ARRUELA LISA D=5/16" </t>
  </si>
  <si>
    <t xml:space="preserve">un </t>
  </si>
  <si>
    <t xml:space="preserve">PORCA SEXTAVADA D = 5/16" </t>
  </si>
  <si>
    <t>PARAFUSO ZINCADO ROSCA SOBERBA, CABECA SEXTAVADA, 5/16 " X 250 MM, PARA FIXACAO DE TELHA EM MADEIRA</t>
  </si>
  <si>
    <t xml:space="preserve">H </t>
  </si>
  <si>
    <t xml:space="preserve">MESTRE DE OBRA - (OBRAS CIVIS) </t>
  </si>
  <si>
    <t>Horas trabalhadas</t>
  </si>
  <si>
    <t xml:space="preserve">PINTURA VERNIZ EM MADEIRA 2 DEMAOS </t>
  </si>
  <si>
    <t xml:space="preserve">PINT.POLIESPORTIVA - 2 DEM.(PISOS E CIMENTADOS) </t>
  </si>
  <si>
    <t xml:space="preserve">PLACA DE INAUGURACAO ACO ESCOVADO 80 X 60 CM </t>
  </si>
  <si>
    <t>BANCO DE CONCRETO POLIDO BASE EM ALVENARIA REBOCADA E PINTADA - PADRÃO GOINFRA</t>
  </si>
  <si>
    <t xml:space="preserve">m </t>
  </si>
  <si>
    <t xml:space="preserve">Horas por dia </t>
  </si>
  <si>
    <t>Dias trabalhados</t>
  </si>
  <si>
    <t>H/dia</t>
  </si>
  <si>
    <t>dia</t>
  </si>
  <si>
    <t xml:space="preserve">Seção das vigotas </t>
  </si>
  <si>
    <t xml:space="preserve">Volume </t>
  </si>
  <si>
    <t xml:space="preserve">ARGILA OU BARRO PARA ATERRO/REATERRO (COM TRANSPORTE ATE 10 KM) </t>
  </si>
  <si>
    <t xml:space="preserve">Empolamento </t>
  </si>
  <si>
    <t>m3</t>
  </si>
  <si>
    <t>PLANTIO GRAMA ESMERALDA PLACA C/ M.O. IRRIG., ADUBO,TERRA VEGETAL (O.C.) A&lt;11.000,00M2</t>
  </si>
  <si>
    <t>Placa de inauguração</t>
  </si>
  <si>
    <t>Quantidade de bancos padrão GOINFRA</t>
  </si>
  <si>
    <t xml:space="preserve">Comprimento dos bancos </t>
  </si>
  <si>
    <t>Área total</t>
  </si>
  <si>
    <t>Calçadas externas</t>
  </si>
  <si>
    <t>PISO DE LADRILHO HIDRÁULICO COLORIDO MODELO TÁTIL ( ALERTA OU DIRECIONAL) SEM LASTRO</t>
  </si>
  <si>
    <t>Quantidade de rampas de acesso</t>
  </si>
  <si>
    <t>Área de piso tátil por rampa de acesso</t>
  </si>
  <si>
    <t>LIMPEZA FINAL DE OBRA - (OBRAS CIVIS)</t>
  </si>
  <si>
    <t>OBELISCO PARA PLACA DE INAUGURAÇÃO - PADRÃO GOINFRA</t>
  </si>
  <si>
    <t>SIURB</t>
  </si>
  <si>
    <t>IPOMEIA - H=1,00/1,50 M - (IPOMOEA LEARII) TREPADEIRA</t>
  </si>
  <si>
    <t>TUMBERGIA - H=0,50/0,70 M - (THUNBERGIA GRANDIFLORA) TREPADEIRA</t>
  </si>
  <si>
    <t>Área virtual</t>
  </si>
  <si>
    <t>Grama esmeralda</t>
  </si>
  <si>
    <t>REGULARIZAÇÃO DO TERRENO SEM APILOAMENTO COM TRANSPORTE MANUAL DA TERRA ESCAVADA</t>
  </si>
  <si>
    <t>LOCAÇÃO DE PRAÇA, QUADRA, IMPLANTAÇÃO UTILIZANDO CAVALETE, INCLUSO PIQUETE COM TESTEMUNHA</t>
  </si>
  <si>
    <t xml:space="preserve">TORNEIRA DE JARDIM COM BICO PARA MANGUEIRA DIÂMETRO DE 1/2" E 3/4" </t>
  </si>
  <si>
    <t xml:space="preserve">TUBO SOLDAVEL PVC MARROM DIAMETRO 25 mm </t>
  </si>
  <si>
    <t xml:space="preserve">JOELHO 90 GRAUS SOLDAVEL DIAMETRO 25 MM </t>
  </si>
  <si>
    <t xml:space="preserve">TE 90 GRAUS SOLDAVEL DIAMETRO 25 mm </t>
  </si>
  <si>
    <t xml:space="preserve">UNIAO SOLDAVEL DIAMETRO 25 mm </t>
  </si>
  <si>
    <t xml:space="preserve">HIDROMETRO DIAM.RAMAL = 25 MM VAZAO =1,5 A 3 M3 </t>
  </si>
  <si>
    <t>7.1</t>
  </si>
  <si>
    <t>7.2</t>
  </si>
  <si>
    <t>7.3</t>
  </si>
  <si>
    <t xml:space="preserve">MEIO FIO COM SARJETA - MFU02 </t>
  </si>
  <si>
    <t>GOINFRA - RO</t>
  </si>
  <si>
    <t>8.1</t>
  </si>
  <si>
    <t>POSTE SIMPLES CÔNICO CONTÍNUO, CIRCULAR, RETO, COM DIÂMETRO NOMINAL DE 60MM NA EXTREMIDADE, GALVANIZADO A FOGO, Hútil= 7 M - ENGASTADO EM CONCRETO COM FCK = 13,5 MPA</t>
  </si>
  <si>
    <t>Altura</t>
  </si>
  <si>
    <t>CONSTRUÇÃO DE PRAÇA NO BAIRRO CONQUISTA</t>
  </si>
  <si>
    <t>TABELA SINAPI PCI.818.01 - CUSTO DE COMPOSIÇÕES - SINTÉTITICO - FEVEREIRO/2022 - COM DESONERAÇÃO - DATA BASE: 14/03/2022</t>
  </si>
  <si>
    <t>TABELA DE TERRAPLENAGEM, PAVIMENTAÇÃO E OBRAS DE ARTE ESPECIAIS - T163 - JAN/22 - COM DESONERAÇÃO - DATA BASE: 01/01/2022</t>
  </si>
  <si>
    <t>ÁREA DE USO PÚBLICO APM-06, RUA C-17, ESQ. C/ RUA C-19 E RUA C-10, RESIDENCIAL CONQUISTA</t>
  </si>
  <si>
    <t>28 DE MARÇO DE 2022</t>
  </si>
  <si>
    <t>RASPAGEM E LIMPEZA MANUAL DO TERRENO</t>
  </si>
  <si>
    <t>1.7</t>
  </si>
  <si>
    <t>PLACA DE OBRA PLOTADA EM CHAPA METÁLICA 26 , AFIXADA EM CAVALETES DE MADEIRA DE LEI (VIGOTAS 6X12CM) - PADRÃO GOINFRA</t>
  </si>
  <si>
    <t>Total = (A x B)</t>
  </si>
  <si>
    <t xml:space="preserve">MÊS </t>
  </si>
  <si>
    <t>Calçadas internas</t>
  </si>
  <si>
    <t>Volume de aterro para nivelamento de terreno</t>
  </si>
  <si>
    <t>Área da praça</t>
  </si>
  <si>
    <t>Área total de intervenção</t>
  </si>
  <si>
    <t>Un</t>
  </si>
  <si>
    <t>Pergolado</t>
  </si>
  <si>
    <t>Comprimento por bloco</t>
  </si>
  <si>
    <t>KIT CAVALETE D=25MM P/HIDRÔMETRO 1,5-3,0-5,0 M3/MURETA/CAIXA</t>
  </si>
  <si>
    <t>PILAR QUADRADO NAO APARELHADO *15 X 15* CM, EM MACARANDUBA, ANGELIM OU EQUIVALENTE DA REGIAO - BRUTA</t>
  </si>
  <si>
    <t>VIGOTA DE MADEIRA 6x12</t>
  </si>
  <si>
    <t>Comprimento de vigota</t>
  </si>
  <si>
    <t>Quantidade por pergolados</t>
  </si>
  <si>
    <t>un</t>
  </si>
  <si>
    <t>Seção dos pilares</t>
  </si>
  <si>
    <t>Pergolado - vigora 6x12</t>
  </si>
  <si>
    <t>Pergolado - vigora 6x16</t>
  </si>
  <si>
    <t>Total = (A + B + C)</t>
  </si>
  <si>
    <t>Calçadas internas - marrom (RGB 170/117/63)</t>
  </si>
  <si>
    <t>Calçadas internas - amarelo ocre  (RGB 224/170/15)</t>
  </si>
  <si>
    <t>Calçadas internas - ral (RGB 224/217/198)</t>
  </si>
  <si>
    <t>Calçadas externas - ral (RGB 224/217/198)</t>
  </si>
  <si>
    <t>PLANTIO DE ÁRVORE ORNAMENTAL COM ALTURA DE MUDA MAIOR QUE 2,00 M E MENOR OU IGUAL A 4,00 M. AF_05/2018</t>
  </si>
  <si>
    <t>PLANTIO DE ARBUSTO OU CERCA VIVA. AF_05/2018</t>
  </si>
  <si>
    <t>CAIAÇAO 2 DEMAOS EM POSTE/ VIGAS E MEIO FIO(OC)</t>
  </si>
  <si>
    <t>Ipês</t>
  </si>
  <si>
    <t>Pergolados</t>
  </si>
  <si>
    <t>Espalhado</t>
  </si>
  <si>
    <t>Meio fio da calçada externa (somente local para reparo)</t>
  </si>
  <si>
    <t>Meio fio</t>
  </si>
  <si>
    <t>Comprimento total</t>
  </si>
  <si>
    <t>TABELA GOINFRA T161 - CUSTOS DE OBRAS CIVIS - JANEIRO/2022 - DESONERADA - DATA BASE: 01/01/2022</t>
  </si>
  <si>
    <t>TABELA SIUB - COM DESONERAÇÃO - DATA BASE: 01/07/2021</t>
  </si>
  <si>
    <t>Seção (10 x 15 cm)</t>
  </si>
  <si>
    <t>Postes do alambrado</t>
  </si>
  <si>
    <t>Seção (10 x 10 cm)</t>
  </si>
  <si>
    <t>Quantidade total</t>
  </si>
  <si>
    <t>JOELHO 90 GRAUS SOLD. C/BUCHA LATAO 25 X 3/4"</t>
  </si>
  <si>
    <t>PADRÃO TRIFASICO 25 MM H=7 METROS</t>
  </si>
  <si>
    <t>CABO PVC (70ºC) 1 KV No. 4 MM2</t>
  </si>
  <si>
    <t>CABO PVC (70ºC) 1 KV No. 6 MM2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</si>
  <si>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</si>
  <si>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</si>
  <si>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</si>
  <si>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</si>
  <si>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</si>
  <si>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</si>
  <si>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</si>
  <si>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</si>
  <si>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</si>
  <si>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</si>
  <si>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</si>
  <si>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8.2</t>
  </si>
  <si>
    <t>8.3</t>
  </si>
  <si>
    <t xml:space="preserve">                     _________________________________________                                                   _________________________________________</t>
  </si>
  <si>
    <t xml:space="preserve">                       LEONARDO MARTINS DE CASTRO TEIXEIRA                                                                IGOR CESAR NASCIMENTO MARQUES</t>
  </si>
  <si>
    <t xml:space="preserve">                               SECRETÁRIO MUNICIPAL DE OBRAS                                                                                           ENGENHAEIRO CIVIL</t>
  </si>
  <si>
    <t xml:space="preserve">                                              CREA 7455/D-GO                                                                                                             CREA 1019848030/D-GO</t>
  </si>
  <si>
    <t>ORÇAMENTO</t>
  </si>
  <si>
    <t>Total = (A + B)</t>
  </si>
  <si>
    <t xml:space="preserve">                      _________________________________________                                                _________________________________________</t>
  </si>
  <si>
    <t xml:space="preserve">                         LEONARDO MARTINS DE CASTRO TEIXEIRA                                                             IGOR CESAR NASCIMENTO MARQUES </t>
  </si>
  <si>
    <t xml:space="preserve">                               SECRETÁRIO MUNICIPAL DE OBRAS                                                                                     ENGENHEIRO CIVIL</t>
  </si>
  <si>
    <t xml:space="preserve">                                               CREA 7455/D-GO                                                                                                     CREA 1019848030/D-GO</t>
  </si>
  <si>
    <t xml:space="preserve">                                _________________________________________                                                _________________________________________</t>
  </si>
  <si>
    <t xml:space="preserve">                                 LEONARDO MARTINS DE CASTRO TEIXEIRA                                                       IGOR CESAR NASCIMENTO MARQUES </t>
  </si>
  <si>
    <t xml:space="preserve">                                      SECRETÁRIO MUNICIPAL DE OBRAS                                                                           ENGENHEIRO CIVIL</t>
  </si>
  <si>
    <t xml:space="preserve">                                                     CREA 7455/D-GO                                                                                       CREA 1019848030/D-GO</t>
  </si>
  <si>
    <t>9.1</t>
  </si>
  <si>
    <t>9.2</t>
  </si>
  <si>
    <t>9.3</t>
  </si>
  <si>
    <t>10.1</t>
  </si>
  <si>
    <t>11.1</t>
  </si>
  <si>
    <t>11.2</t>
  </si>
  <si>
    <t>11.3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</si>
  <si>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</si>
  <si>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</si>
  <si>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</si>
  <si>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</si>
  <si>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</si>
  <si>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</si>
  <si>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</si>
  <si>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</si>
  <si>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</si>
  <si>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</si>
  <si>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 xml:space="preserve">                                          CREA 7455/D-GO                                                                                       CREA 1019848030/D-GO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</si>
</sst>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\-??_);_(@_)"/>
    <numFmt numFmtId="166" formatCode="&quot;R$&quot;\ #,##0.00"/>
    <numFmt numFmtId="167" formatCode="0.0000"/>
    <numFmt numFmtId="168" formatCode="[$-F800]dddd\,\ mmmm\ dd\,\ yyyy"/>
    <numFmt numFmtId="169" formatCode="0.0%"/>
    <numFmt numFmtId="170" formatCode="0.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0" tint="-0.34998626667073579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165" fontId="3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83">
    <xf numFmtId="0" fontId="0" fillId="0" borderId="0" xfId="0"/>
    <xf numFmtId="166" fontId="8" fillId="0" borderId="0" xfId="0" applyNumberFormat="1" applyFont="1" applyProtection="1"/>
    <xf numFmtId="0" fontId="8" fillId="0" borderId="0" xfId="0" applyFont="1" applyProtection="1"/>
    <xf numFmtId="0" fontId="9" fillId="0" borderId="0" xfId="0" applyFont="1" applyProtection="1"/>
    <xf numFmtId="0" fontId="7" fillId="0" borderId="4" xfId="0" applyFont="1" applyBorder="1" applyAlignment="1" applyProtection="1">
      <alignment horizontal="left" vertical="center"/>
    </xf>
    <xf numFmtId="44" fontId="7" fillId="0" borderId="0" xfId="4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left" vertical="center"/>
    </xf>
    <xf numFmtId="44" fontId="6" fillId="0" borderId="0" xfId="4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44" fontId="7" fillId="0" borderId="0" xfId="4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166" fontId="8" fillId="0" borderId="0" xfId="0" applyNumberFormat="1" applyFont="1" applyFill="1" applyProtection="1"/>
    <xf numFmtId="0" fontId="8" fillId="0" borderId="0" xfId="0" applyFont="1" applyFill="1" applyProtection="1"/>
    <xf numFmtId="0" fontId="9" fillId="0" borderId="0" xfId="0" applyFont="1" applyFill="1" applyProtection="1"/>
    <xf numFmtId="168" fontId="6" fillId="3" borderId="0" xfId="0" applyNumberFormat="1" applyFont="1" applyFill="1" applyBorder="1" applyAlignment="1" applyProtection="1">
      <alignment horizontal="left" vertical="center"/>
    </xf>
    <xf numFmtId="0" fontId="6" fillId="0" borderId="23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left" vertical="center"/>
    </xf>
    <xf numFmtId="10" fontId="6" fillId="0" borderId="24" xfId="0" applyNumberFormat="1" applyFont="1" applyFill="1" applyBorder="1" applyAlignment="1" applyProtection="1">
      <alignment horizontal="left" vertical="center"/>
    </xf>
    <xf numFmtId="0" fontId="6" fillId="0" borderId="24" xfId="0" applyFont="1" applyFill="1" applyBorder="1" applyAlignment="1" applyProtection="1">
      <alignment horizontal="center" vertical="center"/>
    </xf>
    <xf numFmtId="44" fontId="6" fillId="0" borderId="24" xfId="4" applyFont="1" applyFill="1" applyBorder="1" applyAlignment="1" applyProtection="1">
      <alignment horizontal="center" vertical="center"/>
    </xf>
    <xf numFmtId="44" fontId="7" fillId="0" borderId="24" xfId="4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10" fontId="6" fillId="0" borderId="16" xfId="0" applyNumberFormat="1" applyFont="1" applyBorder="1" applyAlignment="1" applyProtection="1">
      <alignment horizontal="left" vertical="center"/>
    </xf>
    <xf numFmtId="44" fontId="6" fillId="0" borderId="16" xfId="4" applyFont="1" applyBorder="1" applyAlignment="1" applyProtection="1">
      <alignment horizontal="center" vertical="center"/>
    </xf>
    <xf numFmtId="44" fontId="7" fillId="0" borderId="16" xfId="4" applyFont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left" vertical="center" wrapText="1"/>
    </xf>
    <xf numFmtId="2" fontId="7" fillId="2" borderId="6" xfId="0" applyNumberFormat="1" applyFont="1" applyFill="1" applyBorder="1" applyAlignment="1" applyProtection="1">
      <alignment horizontal="center" vertical="center"/>
    </xf>
    <xf numFmtId="44" fontId="7" fillId="2" borderId="6" xfId="4" applyFont="1" applyFill="1" applyBorder="1" applyAlignment="1" applyProtection="1">
      <alignment horizontal="center" vertical="center"/>
    </xf>
    <xf numFmtId="44" fontId="7" fillId="2" borderId="6" xfId="4" applyNumberFormat="1" applyFont="1" applyFill="1" applyBorder="1" applyAlignment="1" applyProtection="1">
      <alignment horizontal="center" vertical="center"/>
    </xf>
    <xf numFmtId="0" fontId="7" fillId="5" borderId="48" xfId="0" applyFont="1" applyFill="1" applyBorder="1" applyAlignment="1" applyProtection="1">
      <alignment horizontal="center" vertical="center"/>
    </xf>
    <xf numFmtId="0" fontId="7" fillId="5" borderId="45" xfId="0" applyFont="1" applyFill="1" applyBorder="1" applyAlignment="1" applyProtection="1">
      <alignment horizontal="center" vertical="center"/>
    </xf>
    <xf numFmtId="0" fontId="6" fillId="0" borderId="46" xfId="0" applyFont="1" applyFill="1" applyBorder="1" applyAlignment="1" applyProtection="1">
      <alignment horizontal="center" vertical="center"/>
    </xf>
    <xf numFmtId="0" fontId="6" fillId="0" borderId="47" xfId="0" applyFont="1" applyFill="1" applyBorder="1" applyAlignment="1" applyProtection="1">
      <alignment horizontal="center" vertical="center"/>
    </xf>
    <xf numFmtId="0" fontId="6" fillId="0" borderId="47" xfId="0" applyFont="1" applyFill="1" applyBorder="1" applyAlignment="1" applyProtection="1">
      <alignment horizontal="left" vertical="center" wrapText="1"/>
    </xf>
    <xf numFmtId="2" fontId="6" fillId="0" borderId="41" xfId="0" applyNumberFormat="1" applyFont="1" applyBorder="1" applyAlignment="1" applyProtection="1">
      <alignment horizontal="center" vertical="center"/>
    </xf>
    <xf numFmtId="44" fontId="6" fillId="0" borderId="41" xfId="4" applyFont="1" applyBorder="1" applyAlignment="1" applyProtection="1">
      <alignment horizontal="center" vertical="center"/>
      <protection locked="0"/>
    </xf>
    <xf numFmtId="44" fontId="6" fillId="0" borderId="42" xfId="4" applyFont="1" applyBorder="1" applyAlignment="1" applyProtection="1">
      <alignment horizontal="center" vertical="center"/>
    </xf>
    <xf numFmtId="0" fontId="6" fillId="0" borderId="47" xfId="0" applyFont="1" applyFill="1" applyBorder="1" applyAlignment="1" applyProtection="1">
      <alignment horizontal="left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left" vertical="center" wrapText="1"/>
    </xf>
    <xf numFmtId="44" fontId="9" fillId="0" borderId="0" xfId="0" applyNumberFormat="1" applyFont="1" applyProtection="1"/>
    <xf numFmtId="44" fontId="7" fillId="4" borderId="33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Protection="1"/>
    <xf numFmtId="44" fontId="7" fillId="2" borderId="31" xfId="4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Alignment="1" applyProtection="1">
      <alignment horizontal="center" vertical="center"/>
    </xf>
    <xf numFmtId="44" fontId="7" fillId="4" borderId="17" xfId="0" applyNumberFormat="1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left" vertical="center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left" vertical="center"/>
    </xf>
    <xf numFmtId="0" fontId="6" fillId="0" borderId="41" xfId="0" applyFont="1" applyBorder="1" applyAlignment="1" applyProtection="1">
      <alignment horizontal="center" vertical="center" wrapText="1"/>
    </xf>
    <xf numFmtId="0" fontId="6" fillId="0" borderId="40" xfId="0" applyFont="1" applyBorder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left" vertical="center" wrapText="1"/>
    </xf>
    <xf numFmtId="2" fontId="6" fillId="0" borderId="41" xfId="0" applyNumberFormat="1" applyFont="1" applyFill="1" applyBorder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center" vertical="center"/>
    </xf>
    <xf numFmtId="44" fontId="1" fillId="0" borderId="41" xfId="4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44" fontId="6" fillId="0" borderId="41" xfId="4" applyFont="1" applyFill="1" applyBorder="1" applyAlignment="1" applyProtection="1">
      <alignment horizontal="center" vertical="center"/>
      <protection locked="0"/>
    </xf>
    <xf numFmtId="2" fontId="1" fillId="0" borderId="41" xfId="0" applyNumberFormat="1" applyFont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left" vertical="center"/>
    </xf>
    <xf numFmtId="0" fontId="1" fillId="0" borderId="41" xfId="0" applyFont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left" vertical="center" wrapText="1"/>
    </xf>
    <xf numFmtId="166" fontId="6" fillId="0" borderId="41" xfId="4" applyNumberFormat="1" applyFont="1" applyFill="1" applyBorder="1" applyAlignment="1" applyProtection="1">
      <alignment horizontal="center" vertical="center"/>
      <protection locked="0"/>
    </xf>
    <xf numFmtId="44" fontId="6" fillId="0" borderId="42" xfId="4" applyFont="1" applyFill="1" applyBorder="1" applyAlignment="1" applyProtection="1">
      <alignment horizontal="center" vertical="center"/>
    </xf>
    <xf numFmtId="166" fontId="10" fillId="0" borderId="0" xfId="0" applyNumberFormat="1" applyFont="1" applyFill="1" applyProtection="1"/>
    <xf numFmtId="44" fontId="6" fillId="0" borderId="42" xfId="4" applyNumberFormat="1" applyFont="1" applyFill="1" applyBorder="1" applyAlignment="1" applyProtection="1">
      <alignment horizontal="center" vertical="center"/>
    </xf>
    <xf numFmtId="0" fontId="1" fillId="0" borderId="41" xfId="0" applyFont="1" applyFill="1" applyBorder="1" applyAlignment="1" applyProtection="1">
      <alignment horizontal="center" vertical="center" wrapText="1"/>
    </xf>
    <xf numFmtId="0" fontId="1" fillId="0" borderId="41" xfId="0" applyFont="1" applyFill="1" applyBorder="1" applyAlignment="1" applyProtection="1">
      <alignment horizontal="left" vertical="center" wrapText="1"/>
    </xf>
    <xf numFmtId="2" fontId="1" fillId="0" borderId="41" xfId="0" applyNumberFormat="1" applyFont="1" applyFill="1" applyBorder="1" applyAlignment="1" applyProtection="1">
      <alignment horizontal="center" vertical="center"/>
    </xf>
    <xf numFmtId="0" fontId="1" fillId="0" borderId="41" xfId="0" applyFont="1" applyFill="1" applyBorder="1" applyAlignment="1" applyProtection="1">
      <alignment horizontal="center" vertical="center"/>
    </xf>
    <xf numFmtId="166" fontId="1" fillId="0" borderId="41" xfId="4" applyNumberFormat="1" applyFont="1" applyFill="1" applyBorder="1" applyAlignment="1" applyProtection="1">
      <alignment horizontal="center" vertical="center"/>
      <protection locked="0"/>
    </xf>
    <xf numFmtId="0" fontId="6" fillId="0" borderId="41" xfId="0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44" fontId="9" fillId="0" borderId="0" xfId="4" applyFont="1" applyProtection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44" fontId="6" fillId="0" borderId="0" xfId="4" applyFont="1" applyAlignment="1" applyProtection="1">
      <alignment horizontal="center" vertical="center"/>
    </xf>
    <xf numFmtId="44" fontId="6" fillId="0" borderId="0" xfId="4" applyNumberFormat="1" applyFont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vertical="center" wrapText="1"/>
    </xf>
    <xf numFmtId="0" fontId="6" fillId="0" borderId="30" xfId="0" applyFont="1" applyBorder="1"/>
    <xf numFmtId="168" fontId="6" fillId="0" borderId="24" xfId="0" applyNumberFormat="1" applyFont="1" applyBorder="1" applyAlignment="1" applyProtection="1"/>
    <xf numFmtId="0" fontId="7" fillId="0" borderId="24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/>
    <xf numFmtId="0" fontId="7" fillId="2" borderId="51" xfId="0" applyFont="1" applyFill="1" applyBorder="1" applyAlignment="1" applyProtection="1">
      <alignment horizontal="center" vertical="center"/>
    </xf>
    <xf numFmtId="0" fontId="7" fillId="2" borderId="37" xfId="0" applyFont="1" applyFill="1" applyBorder="1" applyAlignment="1" applyProtection="1"/>
    <xf numFmtId="0" fontId="7" fillId="0" borderId="16" xfId="0" applyFont="1" applyFill="1" applyBorder="1" applyAlignment="1" applyProtection="1">
      <alignment horizontal="center" vertical="center"/>
    </xf>
    <xf numFmtId="0" fontId="7" fillId="0" borderId="47" xfId="0" applyFont="1" applyBorder="1" applyAlignment="1" applyProtection="1">
      <alignment horizontal="center" vertical="center"/>
    </xf>
    <xf numFmtId="0" fontId="7" fillId="0" borderId="47" xfId="0" applyFont="1" applyBorder="1" applyAlignment="1" applyProtection="1">
      <alignment horizontal="left" vertical="center" wrapText="1"/>
    </xf>
    <xf numFmtId="2" fontId="7" fillId="5" borderId="43" xfId="0" applyNumberFormat="1" applyFont="1" applyFill="1" applyBorder="1" applyAlignment="1" applyProtection="1">
      <alignment horizontal="center" vertical="center"/>
    </xf>
    <xf numFmtId="0" fontId="7" fillId="0" borderId="47" xfId="0" applyFont="1" applyBorder="1" applyAlignment="1" applyProtection="1">
      <alignment vertical="center" wrapText="1"/>
    </xf>
    <xf numFmtId="2" fontId="7" fillId="0" borderId="47" xfId="0" applyNumberFormat="1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vertical="center" wrapText="1"/>
    </xf>
    <xf numFmtId="2" fontId="6" fillId="0" borderId="41" xfId="0" applyNumberFormat="1" applyFont="1" applyBorder="1" applyAlignment="1" applyProtection="1">
      <alignment horizontal="center" vertical="center" wrapText="1"/>
    </xf>
    <xf numFmtId="0" fontId="6" fillId="0" borderId="41" xfId="0" applyFont="1" applyFill="1" applyBorder="1" applyAlignment="1" applyProtection="1">
      <alignment vertical="center" wrapText="1"/>
    </xf>
    <xf numFmtId="2" fontId="6" fillId="0" borderId="50" xfId="0" applyNumberFormat="1" applyFont="1" applyFill="1" applyBorder="1" applyAlignment="1" applyProtection="1">
      <alignment horizontal="center" vertical="center" wrapText="1"/>
    </xf>
    <xf numFmtId="0" fontId="6" fillId="0" borderId="55" xfId="0" applyFont="1" applyBorder="1" applyAlignment="1" applyProtection="1">
      <alignment vertical="center" wrapText="1"/>
    </xf>
    <xf numFmtId="167" fontId="6" fillId="0" borderId="50" xfId="0" applyNumberFormat="1" applyFont="1" applyBorder="1" applyAlignment="1" applyProtection="1">
      <alignment horizontal="center" vertical="center" wrapText="1"/>
    </xf>
    <xf numFmtId="0" fontId="7" fillId="0" borderId="41" xfId="0" applyFont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vertical="center" wrapText="1"/>
    </xf>
    <xf numFmtId="0" fontId="7" fillId="0" borderId="41" xfId="0" applyFont="1" applyBorder="1" applyAlignment="1" applyProtection="1">
      <alignment horizontal="center" vertical="center" wrapText="1"/>
    </xf>
    <xf numFmtId="0" fontId="6" fillId="0" borderId="54" xfId="0" applyFont="1" applyBorder="1" applyAlignment="1" applyProtection="1">
      <alignment horizontal="center" vertical="center"/>
    </xf>
    <xf numFmtId="2" fontId="7" fillId="0" borderId="41" xfId="0" applyNumberFormat="1" applyFont="1" applyBorder="1" applyAlignment="1" applyProtection="1">
      <alignment horizontal="center" vertical="center" wrapText="1"/>
    </xf>
    <xf numFmtId="0" fontId="6" fillId="0" borderId="56" xfId="0" applyFont="1" applyBorder="1" applyAlignment="1" applyProtection="1">
      <alignment horizontal="center" vertical="center" wrapText="1"/>
    </xf>
    <xf numFmtId="170" fontId="6" fillId="0" borderId="50" xfId="0" applyNumberFormat="1" applyFont="1" applyBorder="1" applyAlignment="1" applyProtection="1">
      <alignment horizontal="center" vertical="center" wrapText="1"/>
    </xf>
    <xf numFmtId="2" fontId="6" fillId="0" borderId="50" xfId="0" applyNumberFormat="1" applyFont="1" applyBorder="1" applyAlignment="1" applyProtection="1">
      <alignment horizontal="center" vertical="center" wrapText="1"/>
    </xf>
    <xf numFmtId="0" fontId="11" fillId="3" borderId="41" xfId="0" applyFont="1" applyFill="1" applyBorder="1" applyAlignment="1" applyProtection="1">
      <alignment horizontal="center" vertical="center" wrapText="1"/>
    </xf>
    <xf numFmtId="0" fontId="12" fillId="3" borderId="0" xfId="0" applyFont="1" applyFill="1" applyProtection="1"/>
    <xf numFmtId="0" fontId="9" fillId="3" borderId="0" xfId="0" applyFont="1" applyFill="1" applyProtection="1"/>
    <xf numFmtId="0" fontId="7" fillId="3" borderId="41" xfId="0" applyFont="1" applyFill="1" applyBorder="1" applyAlignment="1" applyProtection="1">
      <alignment horizontal="center" vertical="center"/>
    </xf>
    <xf numFmtId="0" fontId="7" fillId="3" borderId="41" xfId="0" applyFont="1" applyFill="1" applyBorder="1" applyAlignment="1" applyProtection="1">
      <alignment vertical="center" wrapText="1"/>
    </xf>
    <xf numFmtId="2" fontId="7" fillId="3" borderId="41" xfId="0" applyNumberFormat="1" applyFont="1" applyFill="1" applyBorder="1" applyAlignment="1" applyProtection="1">
      <alignment horizontal="center" vertical="center" wrapText="1"/>
    </xf>
    <xf numFmtId="0" fontId="7" fillId="3" borderId="41" xfId="0" applyFont="1" applyFill="1" applyBorder="1" applyAlignment="1" applyProtection="1">
      <alignment horizontal="center" vertical="center" wrapText="1"/>
    </xf>
    <xf numFmtId="2" fontId="6" fillId="3" borderId="41" xfId="0" applyNumberFormat="1" applyFont="1" applyFill="1" applyBorder="1" applyAlignment="1" applyProtection="1">
      <alignment horizontal="center" vertical="center" wrapText="1"/>
    </xf>
    <xf numFmtId="2" fontId="6" fillId="0" borderId="58" xfId="0" applyNumberFormat="1" applyFont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2" fontId="6" fillId="0" borderId="54" xfId="0" applyNumberFormat="1" applyFont="1" applyBorder="1" applyAlignment="1" applyProtection="1">
      <alignment horizontal="center" vertical="center" wrapText="1"/>
    </xf>
    <xf numFmtId="2" fontId="6" fillId="3" borderId="50" xfId="0" applyNumberFormat="1" applyFont="1" applyFill="1" applyBorder="1" applyAlignment="1" applyProtection="1">
      <alignment horizontal="center" vertical="center" wrapText="1"/>
    </xf>
    <xf numFmtId="170" fontId="6" fillId="3" borderId="50" xfId="0" applyNumberFormat="1" applyFont="1" applyFill="1" applyBorder="1" applyAlignment="1" applyProtection="1">
      <alignment horizontal="center" vertical="center" wrapText="1"/>
    </xf>
    <xf numFmtId="2" fontId="7" fillId="3" borderId="50" xfId="0" applyNumberFormat="1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/>
    <xf numFmtId="0" fontId="6" fillId="0" borderId="41" xfId="0" applyFont="1" applyBorder="1" applyAlignment="1">
      <alignment horizontal="center" vertical="center"/>
    </xf>
    <xf numFmtId="2" fontId="6" fillId="0" borderId="50" xfId="0" applyNumberFormat="1" applyFont="1" applyFill="1" applyBorder="1" applyAlignment="1">
      <alignment horizontal="left" vertical="center" wrapText="1"/>
    </xf>
    <xf numFmtId="2" fontId="6" fillId="0" borderId="50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2" fontId="7" fillId="0" borderId="50" xfId="0" applyNumberFormat="1" applyFont="1" applyBorder="1" applyAlignment="1" applyProtection="1">
      <alignment horizontal="center" vertical="center" wrapText="1"/>
    </xf>
    <xf numFmtId="2" fontId="7" fillId="2" borderId="16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54" xfId="0" applyFont="1" applyBorder="1" applyAlignment="1" applyProtection="1">
      <alignment horizontal="center" vertical="center"/>
    </xf>
    <xf numFmtId="0" fontId="6" fillId="0" borderId="3" xfId="0" applyFont="1" applyBorder="1" applyAlignment="1">
      <alignment wrapText="1"/>
    </xf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23" xfId="0" applyFont="1" applyBorder="1"/>
    <xf numFmtId="0" fontId="6" fillId="0" borderId="25" xfId="0" applyFont="1" applyBorder="1"/>
    <xf numFmtId="0" fontId="7" fillId="0" borderId="4" xfId="0" applyFont="1" applyBorder="1"/>
    <xf numFmtId="0" fontId="6" fillId="0" borderId="0" xfId="0" applyFont="1" applyBorder="1" applyAlignment="1"/>
    <xf numFmtId="0" fontId="6" fillId="0" borderId="5" xfId="0" applyFont="1" applyBorder="1" applyAlignment="1"/>
    <xf numFmtId="0" fontId="7" fillId="0" borderId="23" xfId="0" applyFont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44" fontId="6" fillId="0" borderId="14" xfId="3" applyNumberFormat="1" applyFont="1" applyBorder="1" applyAlignment="1">
      <alignment horizontal="center"/>
    </xf>
    <xf numFmtId="10" fontId="1" fillId="0" borderId="14" xfId="3" applyNumberFormat="1" applyFont="1" applyBorder="1" applyAlignment="1">
      <alignment horizontal="center"/>
    </xf>
    <xf numFmtId="10" fontId="9" fillId="0" borderId="0" xfId="0" applyNumberFormat="1" applyFont="1"/>
    <xf numFmtId="10" fontId="9" fillId="0" borderId="0" xfId="3" applyNumberFormat="1" applyFont="1"/>
    <xf numFmtId="44" fontId="6" fillId="0" borderId="19" xfId="4" applyFont="1" applyFill="1" applyBorder="1"/>
    <xf numFmtId="0" fontId="1" fillId="3" borderId="19" xfId="0" applyFont="1" applyFill="1" applyBorder="1"/>
    <xf numFmtId="44" fontId="9" fillId="0" borderId="0" xfId="0" applyNumberFormat="1" applyFont="1"/>
    <xf numFmtId="44" fontId="7" fillId="0" borderId="9" xfId="4" applyFont="1" applyBorder="1"/>
    <xf numFmtId="44" fontId="1" fillId="0" borderId="9" xfId="4" applyFont="1" applyFill="1" applyBorder="1"/>
    <xf numFmtId="44" fontId="6" fillId="0" borderId="19" xfId="4" applyFont="1" applyBorder="1"/>
    <xf numFmtId="10" fontId="1" fillId="0" borderId="14" xfId="3" applyNumberFormat="1" applyFont="1" applyFill="1" applyBorder="1" applyAlignment="1">
      <alignment horizontal="center" vertical="center"/>
    </xf>
    <xf numFmtId="169" fontId="1" fillId="0" borderId="14" xfId="3" applyNumberFormat="1" applyFont="1" applyFill="1" applyBorder="1" applyAlignment="1">
      <alignment horizontal="center"/>
    </xf>
    <xf numFmtId="0" fontId="6" fillId="0" borderId="19" xfId="0" applyFont="1" applyBorder="1"/>
    <xf numFmtId="9" fontId="1" fillId="0" borderId="14" xfId="3" applyFont="1" applyFill="1" applyBorder="1" applyAlignment="1">
      <alignment horizontal="center" vertical="center"/>
    </xf>
    <xf numFmtId="44" fontId="6" fillId="0" borderId="13" xfId="3" applyNumberFormat="1" applyFont="1" applyBorder="1" applyAlignment="1">
      <alignment horizontal="center"/>
    </xf>
    <xf numFmtId="0" fontId="6" fillId="0" borderId="44" xfId="0" applyFont="1" applyBorder="1"/>
    <xf numFmtId="0" fontId="7" fillId="0" borderId="20" xfId="0" applyFont="1" applyBorder="1" applyAlignment="1">
      <alignment horizontal="center" vertical="center"/>
    </xf>
    <xf numFmtId="10" fontId="6" fillId="0" borderId="11" xfId="3" applyNumberFormat="1" applyFont="1" applyBorder="1" applyAlignment="1">
      <alignment horizontal="center"/>
    </xf>
    <xf numFmtId="10" fontId="6" fillId="0" borderId="11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1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0" xfId="0" applyFont="1" applyBorder="1" applyAlignment="1"/>
    <xf numFmtId="0" fontId="7" fillId="0" borderId="4" xfId="0" applyFont="1" applyFill="1" applyBorder="1" applyAlignment="1"/>
    <xf numFmtId="0" fontId="7" fillId="0" borderId="5" xfId="0" applyFont="1" applyFill="1" applyBorder="1" applyAlignment="1"/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4" xfId="0" applyFont="1" applyBorder="1" applyAlignment="1"/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" fontId="1" fillId="0" borderId="35" xfId="7" applyNumberFormat="1" applyFont="1" applyBorder="1" applyAlignment="1">
      <alignment horizontal="center" vertical="center"/>
    </xf>
    <xf numFmtId="4" fontId="1" fillId="0" borderId="36" xfId="7" applyNumberFormat="1" applyFont="1" applyBorder="1" applyAlignment="1">
      <alignment horizontal="center" vertical="center"/>
    </xf>
    <xf numFmtId="4" fontId="11" fillId="0" borderId="32" xfId="7" applyNumberFormat="1" applyFont="1" applyBorder="1" applyAlignment="1">
      <alignment horizontal="center" vertical="center"/>
    </xf>
    <xf numFmtId="166" fontId="6" fillId="0" borderId="0" xfId="0" applyNumberFormat="1" applyFont="1" applyBorder="1"/>
    <xf numFmtId="166" fontId="6" fillId="0" borderId="0" xfId="0" applyNumberFormat="1" applyFont="1" applyBorder="1" applyAlignment="1">
      <alignment horizontal="center"/>
    </xf>
    <xf numFmtId="0" fontId="7" fillId="0" borderId="23" xfId="0" applyFont="1" applyBorder="1" applyAlignment="1" applyProtection="1">
      <alignment horizontal="left" vertical="center"/>
    </xf>
    <xf numFmtId="0" fontId="9" fillId="0" borderId="0" xfId="0" applyFont="1" applyAlignment="1"/>
    <xf numFmtId="0" fontId="7" fillId="0" borderId="0" xfId="0" applyFont="1" applyBorder="1" applyAlignment="1">
      <alignment vertical="center"/>
    </xf>
    <xf numFmtId="0" fontId="1" fillId="0" borderId="57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166" fontId="6" fillId="0" borderId="11" xfId="0" applyNumberFormat="1" applyFont="1" applyBorder="1" applyAlignment="1">
      <alignment horizontal="center"/>
    </xf>
    <xf numFmtId="166" fontId="6" fillId="0" borderId="14" xfId="0" applyNumberFormat="1" applyFont="1" applyBorder="1" applyAlignment="1">
      <alignment horizontal="center"/>
    </xf>
    <xf numFmtId="10" fontId="6" fillId="0" borderId="12" xfId="3" applyNumberFormat="1" applyFont="1" applyBorder="1" applyAlignment="1">
      <alignment horizontal="center"/>
    </xf>
    <xf numFmtId="10" fontId="6" fillId="0" borderId="12" xfId="0" applyNumberFormat="1" applyFont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166" fontId="6" fillId="0" borderId="63" xfId="0" applyNumberFormat="1" applyFont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10" fontId="1" fillId="0" borderId="63" xfId="3" applyNumberFormat="1" applyFont="1" applyBorder="1" applyAlignment="1">
      <alignment horizontal="center"/>
    </xf>
    <xf numFmtId="0" fontId="1" fillId="3" borderId="65" xfId="0" applyFont="1" applyFill="1" applyBorder="1"/>
    <xf numFmtId="44" fontId="1" fillId="0" borderId="66" xfId="4" applyFont="1" applyFill="1" applyBorder="1"/>
    <xf numFmtId="10" fontId="1" fillId="0" borderId="63" xfId="3" applyNumberFormat="1" applyFont="1" applyFill="1" applyBorder="1" applyAlignment="1">
      <alignment horizontal="center" vertical="center"/>
    </xf>
    <xf numFmtId="169" fontId="1" fillId="0" borderId="63" xfId="3" applyNumberFormat="1" applyFont="1" applyFill="1" applyBorder="1" applyAlignment="1">
      <alignment horizontal="center"/>
    </xf>
    <xf numFmtId="9" fontId="1" fillId="0" borderId="63" xfId="3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7" fillId="0" borderId="17" xfId="0" applyFont="1" applyBorder="1" applyAlignment="1" applyProtection="1">
      <alignment horizontal="center" vertical="center"/>
    </xf>
    <xf numFmtId="2" fontId="6" fillId="0" borderId="0" xfId="0" applyNumberFormat="1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2" fontId="6" fillId="0" borderId="0" xfId="0" applyNumberFormat="1" applyFont="1" applyFill="1" applyBorder="1" applyAlignment="1" applyProtection="1">
      <alignment horizontal="center" vertical="center"/>
    </xf>
    <xf numFmtId="0" fontId="6" fillId="0" borderId="70" xfId="0" applyFont="1" applyFill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1" fillId="0" borderId="70" xfId="0" applyFont="1" applyBorder="1" applyAlignment="1" applyProtection="1">
      <alignment horizontal="center" vertical="center"/>
    </xf>
    <xf numFmtId="0" fontId="6" fillId="0" borderId="71" xfId="0" applyFont="1" applyFill="1" applyBorder="1" applyAlignment="1" applyProtection="1">
      <alignment horizontal="center" vertical="center"/>
    </xf>
    <xf numFmtId="0" fontId="7" fillId="5" borderId="45" xfId="0" applyFont="1" applyFill="1" applyBorder="1" applyAlignment="1" applyProtection="1">
      <alignment horizontal="left" vertical="center"/>
    </xf>
    <xf numFmtId="0" fontId="7" fillId="5" borderId="49" xfId="0" applyFont="1" applyFill="1" applyBorder="1" applyAlignment="1" applyProtection="1">
      <alignment horizontal="left" vertical="center"/>
    </xf>
    <xf numFmtId="44" fontId="1" fillId="0" borderId="57" xfId="4" applyFont="1" applyBorder="1" applyAlignment="1" applyProtection="1">
      <alignment horizontal="center" vertical="center"/>
      <protection locked="0"/>
    </xf>
    <xf numFmtId="44" fontId="1" fillId="0" borderId="59" xfId="4" applyFont="1" applyBorder="1" applyAlignment="1" applyProtection="1">
      <alignment horizontal="center" vertical="center"/>
      <protection locked="0"/>
    </xf>
    <xf numFmtId="0" fontId="7" fillId="5" borderId="67" xfId="0" applyFont="1" applyFill="1" applyBorder="1" applyAlignment="1" applyProtection="1">
      <alignment horizontal="left" vertical="center"/>
    </xf>
    <xf numFmtId="0" fontId="7" fillId="5" borderId="68" xfId="0" applyFont="1" applyFill="1" applyBorder="1" applyAlignment="1" applyProtection="1">
      <alignment horizontal="left" vertical="center"/>
    </xf>
    <xf numFmtId="0" fontId="7" fillId="5" borderId="69" xfId="0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center" vertical="center"/>
    </xf>
    <xf numFmtId="44" fontId="6" fillId="0" borderId="57" xfId="4" applyFont="1" applyBorder="1" applyAlignment="1" applyProtection="1">
      <alignment horizontal="center" vertical="center"/>
      <protection locked="0"/>
    </xf>
    <xf numFmtId="44" fontId="6" fillId="0" borderId="58" xfId="4" applyFont="1" applyBorder="1" applyAlignment="1" applyProtection="1">
      <alignment horizontal="center" vertical="center"/>
      <protection locked="0"/>
    </xf>
    <xf numFmtId="44" fontId="6" fillId="0" borderId="52" xfId="4" applyFont="1" applyBorder="1" applyAlignment="1" applyProtection="1">
      <alignment horizontal="center" vertical="center"/>
      <protection locked="0"/>
    </xf>
    <xf numFmtId="44" fontId="6" fillId="0" borderId="53" xfId="4" applyFont="1" applyBorder="1" applyAlignment="1" applyProtection="1">
      <alignment horizontal="center" vertical="center"/>
      <protection locked="0"/>
    </xf>
    <xf numFmtId="44" fontId="1" fillId="0" borderId="61" xfId="4" applyFont="1" applyBorder="1" applyAlignment="1" applyProtection="1">
      <alignment horizontal="center" vertical="center"/>
      <protection locked="0"/>
    </xf>
    <xf numFmtId="44" fontId="1" fillId="0" borderId="62" xfId="4" applyFont="1" applyBorder="1" applyAlignment="1" applyProtection="1">
      <alignment horizontal="center" vertical="center"/>
      <protection locked="0"/>
    </xf>
    <xf numFmtId="44" fontId="1" fillId="0" borderId="52" xfId="4" applyFont="1" applyBorder="1" applyAlignment="1" applyProtection="1">
      <alignment horizontal="center" vertical="center"/>
      <protection locked="0"/>
    </xf>
    <xf numFmtId="44" fontId="1" fillId="0" borderId="53" xfId="4" applyFont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horizontal="right" vertical="center"/>
    </xf>
    <xf numFmtId="0" fontId="7" fillId="4" borderId="16" xfId="0" applyFont="1" applyFill="1" applyBorder="1" applyAlignment="1" applyProtection="1">
      <alignment horizontal="right" vertical="center"/>
    </xf>
    <xf numFmtId="166" fontId="6" fillId="0" borderId="57" xfId="4" applyNumberFormat="1" applyFont="1" applyFill="1" applyBorder="1" applyAlignment="1" applyProtection="1">
      <alignment horizontal="center" vertical="center"/>
      <protection locked="0"/>
    </xf>
    <xf numFmtId="166" fontId="6" fillId="0" borderId="58" xfId="4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7" fillId="5" borderId="52" xfId="0" applyFont="1" applyFill="1" applyBorder="1" applyAlignment="1" applyProtection="1">
      <alignment horizontal="right" vertical="center"/>
    </xf>
    <xf numFmtId="0" fontId="7" fillId="5" borderId="39" xfId="0" applyFont="1" applyFill="1" applyBorder="1" applyAlignment="1" applyProtection="1">
      <alignment horizontal="right" vertical="center"/>
    </xf>
    <xf numFmtId="0" fontId="7" fillId="5" borderId="53" xfId="0" applyFont="1" applyFill="1" applyBorder="1" applyAlignment="1" applyProtection="1">
      <alignment horizontal="right" vertical="center"/>
    </xf>
    <xf numFmtId="2" fontId="7" fillId="0" borderId="57" xfId="0" applyNumberFormat="1" applyFont="1" applyBorder="1" applyAlignment="1" applyProtection="1">
      <alignment horizontal="right" vertical="center" wrapText="1"/>
    </xf>
    <xf numFmtId="2" fontId="7" fillId="0" borderId="59" xfId="0" applyNumberFormat="1" applyFont="1" applyBorder="1" applyAlignment="1" applyProtection="1">
      <alignment horizontal="right" vertical="center" wrapText="1"/>
    </xf>
    <xf numFmtId="0" fontId="6" fillId="0" borderId="57" xfId="0" applyFont="1" applyBorder="1" applyAlignment="1" applyProtection="1">
      <alignment horizontal="left" vertical="center" wrapText="1"/>
    </xf>
    <xf numFmtId="0" fontId="6" fillId="0" borderId="59" xfId="0" applyFont="1" applyBorder="1" applyAlignment="1" applyProtection="1">
      <alignment horizontal="left" vertical="center" wrapText="1"/>
    </xf>
    <xf numFmtId="0" fontId="6" fillId="0" borderId="58" xfId="0" applyFont="1" applyBorder="1" applyAlignment="1" applyProtection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68" fontId="6" fillId="0" borderId="0" xfId="0" applyNumberFormat="1" applyFont="1" applyBorder="1" applyAlignment="1">
      <alignment horizontal="left"/>
    </xf>
    <xf numFmtId="168" fontId="6" fillId="0" borderId="5" xfId="0" applyNumberFormat="1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64" xfId="0" applyFont="1" applyFill="1" applyBorder="1" applyAlignment="1">
      <alignment horizontal="center"/>
    </xf>
    <xf numFmtId="168" fontId="6" fillId="0" borderId="24" xfId="0" applyNumberFormat="1" applyFont="1" applyBorder="1" applyAlignment="1">
      <alignment horizontal="left"/>
    </xf>
    <xf numFmtId="168" fontId="6" fillId="0" borderId="25" xfId="0" applyNumberFormat="1" applyFont="1" applyBorder="1" applyAlignment="1">
      <alignment horizontal="left"/>
    </xf>
    <xf numFmtId="0" fontId="7" fillId="0" borderId="28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center"/>
    </xf>
    <xf numFmtId="0" fontId="7" fillId="2" borderId="6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4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0" xfId="0" applyFont="1" applyFill="1" applyBorder="1" applyProtection="1"/>
    <xf numFmtId="0" fontId="1" fillId="0" borderId="41" xfId="1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wrapText="1"/>
    </xf>
    <xf numFmtId="4" fontId="6" fillId="0" borderId="2" xfId="0" applyNumberFormat="1" applyFont="1" applyBorder="1" applyAlignment="1" applyProtection="1">
      <alignment horizontal="center" vertical="center"/>
    </xf>
    <xf numFmtId="44" fontId="6" fillId="0" borderId="2" xfId="4" applyFont="1" applyBorder="1" applyAlignment="1" applyProtection="1">
      <alignment horizontal="center"/>
    </xf>
    <xf numFmtId="10" fontId="6" fillId="0" borderId="3" xfId="3" applyNumberFormat="1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4" fontId="6" fillId="0" borderId="0" xfId="0" applyNumberFormat="1" applyFont="1" applyBorder="1" applyAlignment="1" applyProtection="1">
      <alignment horizontal="center" vertical="center"/>
    </xf>
    <xf numFmtId="44" fontId="6" fillId="0" borderId="0" xfId="4" applyFont="1" applyBorder="1" applyAlignment="1" applyProtection="1">
      <alignment horizontal="center"/>
    </xf>
    <xf numFmtId="10" fontId="6" fillId="0" borderId="5" xfId="3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horizont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vertical="center"/>
    </xf>
    <xf numFmtId="0" fontId="6" fillId="0" borderId="25" xfId="0" applyFont="1" applyBorder="1" applyAlignment="1" applyProtection="1">
      <alignment vertical="center"/>
    </xf>
    <xf numFmtId="44" fontId="7" fillId="0" borderId="0" xfId="4" applyFont="1" applyBorder="1" applyAlignment="1" applyProtection="1">
      <alignment horizontal="center"/>
    </xf>
    <xf numFmtId="10" fontId="7" fillId="0" borderId="0" xfId="3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4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wrapText="1"/>
    </xf>
    <xf numFmtId="44" fontId="6" fillId="0" borderId="52" xfId="4" applyFont="1" applyBorder="1" applyAlignment="1" applyProtection="1">
      <alignment horizontal="center" vertical="center" wrapText="1"/>
      <protection locked="0"/>
    </xf>
    <xf numFmtId="44" fontId="6" fillId="0" borderId="53" xfId="4" applyFont="1" applyBorder="1" applyAlignment="1" applyProtection="1">
      <alignment horizontal="center" vertical="center" wrapText="1"/>
      <protection locked="0"/>
    </xf>
  </cellXfs>
  <cellStyles count="16">
    <cellStyle name="Moeda" xfId="4" builtinId="4"/>
    <cellStyle name="Moeda 2" xfId="2"/>
    <cellStyle name="Moeda 2 2" xfId="8"/>
    <cellStyle name="Moeda 3" xfId="9"/>
    <cellStyle name="Moeda 4" xfId="11"/>
    <cellStyle name="Moeda 5" xfId="14"/>
    <cellStyle name="Normal" xfId="0" builtinId="0"/>
    <cellStyle name="Normal 2" xfId="12"/>
    <cellStyle name="Normal 3" xfId="1"/>
    <cellStyle name="Normal 4" xfId="5"/>
    <cellStyle name="Normal 5" xfId="10"/>
    <cellStyle name="Porcentagem" xfId="3" builtinId="5"/>
    <cellStyle name="Porcentagem 2" xfId="13"/>
    <cellStyle name="Vírgula" xfId="7" builtinId="3"/>
    <cellStyle name="Vírgula 2" xfId="15"/>
    <cellStyle name="Vírgula 5" xfId="6"/>
  </cellStyles>
  <dxfs count="1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63012</xdr:colOff>
      <xdr:row>1</xdr:row>
      <xdr:rowOff>62276</xdr:rowOff>
    </xdr:from>
    <xdr:to>
      <xdr:col>1</xdr:col>
      <xdr:colOff>872636</xdr:colOff>
      <xdr:row>9</xdr:row>
      <xdr:rowOff>31583</xdr:rowOff>
    </xdr:to>
    <xdr:pic>
      <xdr:nvPicPr>
        <xdr:cNvPr id="3" name="Imagem 2" descr="Nenhuma descrição de foto disponível.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387" y="443276"/>
          <a:ext cx="1412874" cy="1429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171451</xdr:colOff>
      <xdr:row>0</xdr:row>
      <xdr:rowOff>104776</xdr:rowOff>
    </xdr:from>
    <xdr:to>
      <xdr:col>3</xdr:col>
      <xdr:colOff>2409825</xdr:colOff>
      <xdr:row>9</xdr:row>
      <xdr:rowOff>79156</xdr:rowOff>
    </xdr:to>
    <xdr:pic>
      <xdr:nvPicPr>
        <xdr:cNvPr id="3" name="Imagem 2" descr="Nenhuma descrição de foto disponível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1" y="104776"/>
          <a:ext cx="2238374" cy="2238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47625</xdr:rowOff>
    </xdr:from>
    <xdr:to>
      <xdr:col>1</xdr:col>
      <xdr:colOff>1971675</xdr:colOff>
      <xdr:row>9</xdr:row>
      <xdr:rowOff>38100</xdr:rowOff>
    </xdr:to>
    <xdr:pic>
      <xdr:nvPicPr>
        <xdr:cNvPr id="2" name="Imagem 1" descr="Nenhuma descrição de foto disponível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623" b="8968"/>
        <a:stretch/>
      </xdr:blipFill>
      <xdr:spPr bwMode="auto">
        <a:xfrm>
          <a:off x="209550" y="228600"/>
          <a:ext cx="2124075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914400</xdr:colOff>
      <xdr:row>7</xdr:row>
      <xdr:rowOff>342900</xdr:rowOff>
    </xdr:to>
    <xdr:pic>
      <xdr:nvPicPr>
        <xdr:cNvPr id="2" name="Imagem 1" descr="Nenhuma descrição de foto disponível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19" b="6403"/>
        <a:stretch/>
      </xdr:blipFill>
      <xdr:spPr bwMode="auto">
        <a:xfrm>
          <a:off x="85725" y="114300"/>
          <a:ext cx="1933575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8"/>
  <sheetViews>
    <sheetView showGridLines="0" topLeftCell="A7" zoomScale="120" zoomScaleNormal="120" workbookViewId="0">
      <selection activeCell="G18" sqref="G18"/>
    </sheetView>
  </sheetViews>
  <sheetFormatPr defaultColWidth="8.85546875" defaultRowHeight="14.25" x14ac:dyDescent="0.2"/>
  <cols>
    <col min="1" max="1" width="9" style="94" customWidth="1"/>
    <col min="2" max="2" width="14.28515625" style="94" bestFit="1" customWidth="1"/>
    <col min="3" max="3" width="12.85546875" style="94" customWidth="1"/>
    <col min="4" max="4" width="77.28515625" style="93" bestFit="1" customWidth="1"/>
    <col min="5" max="5" width="9.7109375" style="56" bestFit="1" customWidth="1"/>
    <col min="6" max="6" width="8.5703125" style="94" customWidth="1"/>
    <col min="7" max="7" width="16.140625" style="95" customWidth="1"/>
    <col min="8" max="8" width="17.140625" style="95" bestFit="1" customWidth="1"/>
    <col min="9" max="9" width="18.7109375" style="96" customWidth="1"/>
    <col min="10" max="10" width="15.28515625" style="1" bestFit="1" customWidth="1"/>
    <col min="11" max="11" width="12.85546875" style="1" bestFit="1" customWidth="1"/>
    <col min="12" max="12" width="14.7109375" style="2" bestFit="1" customWidth="1"/>
    <col min="13" max="13" width="18.42578125" style="3" customWidth="1"/>
    <col min="14" max="15" width="16.140625" style="3" bestFit="1" customWidth="1"/>
    <col min="16" max="16384" width="8.85546875" style="3"/>
  </cols>
  <sheetData>
    <row r="1" spans="1:12" ht="15" customHeight="1" x14ac:dyDescent="0.2">
      <c r="A1" s="228"/>
      <c r="B1" s="224"/>
      <c r="C1" s="281" t="s">
        <v>281</v>
      </c>
      <c r="D1" s="282"/>
      <c r="E1" s="282"/>
      <c r="F1" s="282"/>
      <c r="G1" s="282"/>
      <c r="H1" s="282"/>
      <c r="I1" s="283"/>
    </row>
    <row r="2" spans="1:12" x14ac:dyDescent="0.2">
      <c r="A2" s="229"/>
      <c r="B2" s="225"/>
      <c r="C2" s="284"/>
      <c r="D2" s="285"/>
      <c r="E2" s="285"/>
      <c r="F2" s="285"/>
      <c r="G2" s="285"/>
      <c r="H2" s="285"/>
      <c r="I2" s="286"/>
    </row>
    <row r="3" spans="1:12" x14ac:dyDescent="0.2">
      <c r="A3" s="229"/>
      <c r="B3" s="225"/>
      <c r="C3" s="4" t="s">
        <v>46</v>
      </c>
      <c r="D3" s="230" t="s">
        <v>0</v>
      </c>
      <c r="E3" s="225"/>
      <c r="F3" s="225"/>
      <c r="G3" s="5"/>
      <c r="H3" s="5"/>
      <c r="I3" s="226"/>
    </row>
    <row r="4" spans="1:12" ht="14.25" customHeight="1" x14ac:dyDescent="0.2">
      <c r="A4" s="229"/>
      <c r="B4" s="225"/>
      <c r="C4" s="4" t="s">
        <v>48</v>
      </c>
      <c r="D4" s="6" t="s">
        <v>214</v>
      </c>
      <c r="E4" s="7"/>
      <c r="F4" s="7"/>
      <c r="G4" s="5"/>
      <c r="H4" s="5"/>
      <c r="I4" s="226"/>
    </row>
    <row r="5" spans="1:12" x14ac:dyDescent="0.2">
      <c r="A5" s="229"/>
      <c r="B5" s="225"/>
      <c r="C5" s="4" t="s">
        <v>47</v>
      </c>
      <c r="D5" s="8">
        <v>2022009671</v>
      </c>
      <c r="E5" s="7"/>
      <c r="F5" s="7"/>
      <c r="G5" s="9"/>
      <c r="H5" s="5"/>
      <c r="I5" s="226"/>
    </row>
    <row r="6" spans="1:12" x14ac:dyDescent="0.2">
      <c r="A6" s="229"/>
      <c r="B6" s="225"/>
      <c r="C6" s="4" t="s">
        <v>49</v>
      </c>
      <c r="D6" s="10" t="s">
        <v>217</v>
      </c>
      <c r="E6" s="7"/>
      <c r="F6" s="7"/>
      <c r="G6" s="5"/>
      <c r="H6" s="5"/>
      <c r="I6" s="226"/>
    </row>
    <row r="7" spans="1:12" s="19" customFormat="1" x14ac:dyDescent="0.2">
      <c r="A7" s="11"/>
      <c r="B7" s="12"/>
      <c r="C7" s="13" t="s">
        <v>50</v>
      </c>
      <c r="D7" s="10" t="s">
        <v>254</v>
      </c>
      <c r="E7" s="14"/>
      <c r="F7" s="14"/>
      <c r="G7" s="15"/>
      <c r="H7" s="15"/>
      <c r="I7" s="16"/>
      <c r="J7" s="17"/>
      <c r="K7" s="17"/>
      <c r="L7" s="18"/>
    </row>
    <row r="8" spans="1:12" s="19" customFormat="1" x14ac:dyDescent="0.2">
      <c r="A8" s="11"/>
      <c r="B8" s="12"/>
      <c r="C8" s="13"/>
      <c r="D8" s="10" t="s">
        <v>215</v>
      </c>
      <c r="E8" s="14"/>
      <c r="F8" s="14"/>
      <c r="G8" s="15"/>
      <c r="H8" s="15"/>
      <c r="I8" s="16"/>
      <c r="J8" s="17"/>
      <c r="K8" s="17"/>
      <c r="L8" s="18"/>
    </row>
    <row r="9" spans="1:12" s="19" customFormat="1" x14ac:dyDescent="0.2">
      <c r="A9" s="11"/>
      <c r="B9" s="350"/>
      <c r="C9" s="13"/>
      <c r="D9" s="10" t="s">
        <v>216</v>
      </c>
      <c r="E9" s="14"/>
      <c r="F9" s="14"/>
      <c r="G9" s="15"/>
      <c r="H9" s="15"/>
      <c r="I9" s="16"/>
      <c r="J9" s="17"/>
      <c r="K9" s="17"/>
      <c r="L9" s="18"/>
    </row>
    <row r="10" spans="1:12" s="19" customFormat="1" x14ac:dyDescent="0.2">
      <c r="A10" s="11"/>
      <c r="B10" s="350"/>
      <c r="C10" s="13"/>
      <c r="D10" s="10" t="s">
        <v>255</v>
      </c>
      <c r="E10" s="14"/>
      <c r="F10" s="14"/>
      <c r="G10" s="15"/>
      <c r="H10" s="15"/>
      <c r="I10" s="16"/>
      <c r="J10" s="17"/>
      <c r="K10" s="17"/>
      <c r="L10" s="18"/>
    </row>
    <row r="11" spans="1:12" x14ac:dyDescent="0.2">
      <c r="A11" s="229"/>
      <c r="B11" s="225"/>
      <c r="C11" s="4" t="s">
        <v>51</v>
      </c>
      <c r="D11" s="20" t="s">
        <v>218</v>
      </c>
      <c r="E11" s="7"/>
      <c r="F11" s="7"/>
      <c r="G11" s="5"/>
      <c r="H11" s="5"/>
      <c r="I11" s="226"/>
    </row>
    <row r="12" spans="1:12" s="19" customFormat="1" ht="15" thickBot="1" x14ac:dyDescent="0.25">
      <c r="A12" s="21"/>
      <c r="B12" s="22"/>
      <c r="C12" s="23" t="s">
        <v>30</v>
      </c>
      <c r="D12" s="24">
        <v>0.23880000000000001</v>
      </c>
      <c r="E12" s="25"/>
      <c r="F12" s="25"/>
      <c r="G12" s="26"/>
      <c r="H12" s="27"/>
      <c r="I12" s="28"/>
      <c r="J12" s="17"/>
      <c r="K12" s="17"/>
      <c r="L12" s="18"/>
    </row>
    <row r="13" spans="1:12" ht="15" thickBot="1" x14ac:dyDescent="0.25">
      <c r="A13" s="29"/>
      <c r="B13" s="30"/>
      <c r="C13" s="30"/>
      <c r="D13" s="31"/>
      <c r="E13" s="29"/>
      <c r="F13" s="29"/>
      <c r="G13" s="32"/>
      <c r="H13" s="33"/>
      <c r="I13" s="248"/>
    </row>
    <row r="14" spans="1:12" ht="15" thickBot="1" x14ac:dyDescent="0.25">
      <c r="A14" s="34" t="s">
        <v>1</v>
      </c>
      <c r="B14" s="35" t="s">
        <v>44</v>
      </c>
      <c r="C14" s="36" t="s">
        <v>45</v>
      </c>
      <c r="D14" s="37" t="s">
        <v>2</v>
      </c>
      <c r="E14" s="38" t="s">
        <v>3</v>
      </c>
      <c r="F14" s="34" t="s">
        <v>4</v>
      </c>
      <c r="G14" s="39" t="s">
        <v>5</v>
      </c>
      <c r="H14" s="39" t="s">
        <v>6</v>
      </c>
      <c r="I14" s="40" t="s">
        <v>7</v>
      </c>
    </row>
    <row r="15" spans="1:12" x14ac:dyDescent="0.2">
      <c r="A15" s="41">
        <v>1</v>
      </c>
      <c r="B15" s="42" t="s">
        <v>8</v>
      </c>
      <c r="C15" s="42">
        <v>20000</v>
      </c>
      <c r="D15" s="256" t="s">
        <v>9</v>
      </c>
      <c r="E15" s="256"/>
      <c r="F15" s="256"/>
      <c r="G15" s="256"/>
      <c r="H15" s="256"/>
      <c r="I15" s="257"/>
    </row>
    <row r="16" spans="1:12" ht="25.5" x14ac:dyDescent="0.2">
      <c r="A16" s="43" t="s">
        <v>85</v>
      </c>
      <c r="B16" s="44" t="s">
        <v>8</v>
      </c>
      <c r="C16" s="44">
        <v>21301</v>
      </c>
      <c r="D16" s="45" t="s">
        <v>221</v>
      </c>
      <c r="E16" s="46">
        <f>'MEMÓRIA DE CÁLCULO'!D18</f>
        <v>3</v>
      </c>
      <c r="F16" s="44" t="s">
        <v>28</v>
      </c>
      <c r="G16" s="47">
        <v>195.5</v>
      </c>
      <c r="H16" s="47">
        <v>2.02</v>
      </c>
      <c r="I16" s="48">
        <f t="shared" ref="I16:I21" si="0">(H16+G16)*E16</f>
        <v>592.56000000000006</v>
      </c>
      <c r="L16" s="1"/>
    </row>
    <row r="17" spans="1:13" x14ac:dyDescent="0.2">
      <c r="A17" s="43" t="s">
        <v>86</v>
      </c>
      <c r="B17" s="44" t="s">
        <v>8</v>
      </c>
      <c r="C17" s="44">
        <v>20202</v>
      </c>
      <c r="D17" s="49" t="s">
        <v>219</v>
      </c>
      <c r="E17" s="46">
        <f>'MEMÓRIA DE CÁLCULO'!D21</f>
        <v>2840.12</v>
      </c>
      <c r="F17" s="44" t="s">
        <v>28</v>
      </c>
      <c r="G17" s="47">
        <v>0</v>
      </c>
      <c r="H17" s="47">
        <v>1.93</v>
      </c>
      <c r="I17" s="48">
        <f t="shared" si="0"/>
        <v>5481.4315999999999</v>
      </c>
      <c r="L17" s="1"/>
    </row>
    <row r="18" spans="1:13" ht="25.5" x14ac:dyDescent="0.2">
      <c r="A18" s="43" t="s">
        <v>87</v>
      </c>
      <c r="B18" s="44" t="s">
        <v>8</v>
      </c>
      <c r="C18" s="50">
        <v>20703</v>
      </c>
      <c r="D18" s="51" t="s">
        <v>199</v>
      </c>
      <c r="E18" s="46">
        <f>'MEMÓRIA DE CÁLCULO'!D24</f>
        <v>2840.12</v>
      </c>
      <c r="F18" s="46" t="s">
        <v>10</v>
      </c>
      <c r="G18" s="47">
        <v>0.33</v>
      </c>
      <c r="H18" s="47">
        <v>0.09</v>
      </c>
      <c r="I18" s="48">
        <f t="shared" si="0"/>
        <v>1192.8504</v>
      </c>
      <c r="L18" s="1"/>
      <c r="M18" s="52"/>
    </row>
    <row r="19" spans="1:13" x14ac:dyDescent="0.2">
      <c r="A19" s="43" t="s">
        <v>88</v>
      </c>
      <c r="B19" s="44" t="s">
        <v>8</v>
      </c>
      <c r="C19" s="50">
        <v>21400</v>
      </c>
      <c r="D19" s="51" t="s">
        <v>82</v>
      </c>
      <c r="E19" s="46">
        <f>'MEMÓRIA DE CÁLCULO'!D29</f>
        <v>78.516714797471494</v>
      </c>
      <c r="F19" s="46" t="s">
        <v>27</v>
      </c>
      <c r="G19" s="47">
        <v>9.48</v>
      </c>
      <c r="H19" s="47">
        <v>0</v>
      </c>
      <c r="I19" s="48">
        <f t="shared" si="0"/>
        <v>744.33845628002985</v>
      </c>
      <c r="L19" s="1"/>
      <c r="M19" s="52"/>
    </row>
    <row r="20" spans="1:13" x14ac:dyDescent="0.2">
      <c r="A20" s="43" t="s">
        <v>89</v>
      </c>
      <c r="B20" s="44" t="s">
        <v>8</v>
      </c>
      <c r="C20" s="50">
        <v>21401</v>
      </c>
      <c r="D20" s="51" t="s">
        <v>83</v>
      </c>
      <c r="E20" s="46">
        <f>'MEMÓRIA DE CÁLCULO'!D34</f>
        <v>559.04477765597267</v>
      </c>
      <c r="F20" s="46" t="s">
        <v>84</v>
      </c>
      <c r="G20" s="47">
        <v>1.03</v>
      </c>
      <c r="H20" s="47">
        <v>0</v>
      </c>
      <c r="I20" s="48">
        <f t="shared" si="0"/>
        <v>575.81612098565188</v>
      </c>
      <c r="L20" s="1"/>
      <c r="M20" s="52"/>
    </row>
    <row r="21" spans="1:13" ht="26.25" thickBot="1" x14ac:dyDescent="0.25">
      <c r="A21" s="255" t="s">
        <v>220</v>
      </c>
      <c r="B21" s="44" t="s">
        <v>97</v>
      </c>
      <c r="C21" s="50">
        <v>10775</v>
      </c>
      <c r="D21" s="51" t="s">
        <v>95</v>
      </c>
      <c r="E21" s="46">
        <f>'MEMÓRIA DE CÁLCULO'!D37</f>
        <v>3</v>
      </c>
      <c r="F21" s="50" t="s">
        <v>96</v>
      </c>
      <c r="G21" s="381">
        <v>756</v>
      </c>
      <c r="H21" s="382"/>
      <c r="I21" s="48">
        <f t="shared" si="0"/>
        <v>2268</v>
      </c>
      <c r="L21" s="1"/>
      <c r="M21" s="52"/>
    </row>
    <row r="22" spans="1:13" ht="15" thickBot="1" x14ac:dyDescent="0.25">
      <c r="A22" s="272" t="s">
        <v>52</v>
      </c>
      <c r="B22" s="273"/>
      <c r="C22" s="273"/>
      <c r="D22" s="273"/>
      <c r="E22" s="273"/>
      <c r="F22" s="273"/>
      <c r="G22" s="273"/>
      <c r="H22" s="273"/>
      <c r="I22" s="53">
        <f>ROUND(SUM(I16:I21),2)</f>
        <v>10855</v>
      </c>
      <c r="J22" s="54">
        <f>I22*1.2388</f>
        <v>13447.173999999999</v>
      </c>
      <c r="K22" s="1">
        <f>H22*E22</f>
        <v>0</v>
      </c>
      <c r="L22" s="1">
        <f>K22+J22</f>
        <v>13447.173999999999</v>
      </c>
    </row>
    <row r="23" spans="1:13" ht="15" thickBot="1" x14ac:dyDescent="0.25">
      <c r="A23" s="34" t="s">
        <v>1</v>
      </c>
      <c r="B23" s="35" t="s">
        <v>44</v>
      </c>
      <c r="C23" s="36" t="s">
        <v>45</v>
      </c>
      <c r="D23" s="37" t="s">
        <v>2</v>
      </c>
      <c r="E23" s="38" t="s">
        <v>3</v>
      </c>
      <c r="F23" s="34" t="s">
        <v>4</v>
      </c>
      <c r="G23" s="39" t="s">
        <v>5</v>
      </c>
      <c r="H23" s="39" t="s">
        <v>6</v>
      </c>
      <c r="I23" s="40" t="s">
        <v>7</v>
      </c>
    </row>
    <row r="24" spans="1:13" x14ac:dyDescent="0.2">
      <c r="A24" s="41">
        <v>2</v>
      </c>
      <c r="B24" s="42" t="s">
        <v>8</v>
      </c>
      <c r="C24" s="42">
        <v>30000</v>
      </c>
      <c r="D24" s="256" t="s">
        <v>11</v>
      </c>
      <c r="E24" s="256"/>
      <c r="F24" s="256"/>
      <c r="G24" s="256"/>
      <c r="H24" s="256"/>
      <c r="I24" s="257"/>
      <c r="J24" s="1">
        <f>G24*E24</f>
        <v>0</v>
      </c>
      <c r="K24" s="1">
        <f>H24*E24</f>
        <v>0</v>
      </c>
      <c r="L24" s="1">
        <f>K24+J24</f>
        <v>0</v>
      </c>
    </row>
    <row r="25" spans="1:13" x14ac:dyDescent="0.2">
      <c r="A25" s="43" t="s">
        <v>12</v>
      </c>
      <c r="B25" s="50" t="s">
        <v>8</v>
      </c>
      <c r="C25" s="50">
        <v>30101</v>
      </c>
      <c r="D25" s="51" t="s">
        <v>98</v>
      </c>
      <c r="E25" s="46">
        <f>'MEMÓRIA DE CÁLCULO'!D42</f>
        <v>85.203599999999994</v>
      </c>
      <c r="F25" s="50" t="s">
        <v>181</v>
      </c>
      <c r="G25" s="47">
        <v>32.83</v>
      </c>
      <c r="H25" s="47">
        <v>6.94</v>
      </c>
      <c r="I25" s="48">
        <f>(H25+G25)*E25</f>
        <v>3388.5471719999996</v>
      </c>
      <c r="L25" s="1"/>
    </row>
    <row r="26" spans="1:13" ht="15" thickBot="1" x14ac:dyDescent="0.25">
      <c r="A26" s="255" t="s">
        <v>43</v>
      </c>
      <c r="B26" s="50" t="s">
        <v>8</v>
      </c>
      <c r="C26" s="50">
        <v>30104</v>
      </c>
      <c r="D26" s="51" t="s">
        <v>99</v>
      </c>
      <c r="E26" s="249">
        <f>'MEMÓRIA DE CÁLCULO'!D46</f>
        <v>28.401199999999999</v>
      </c>
      <c r="F26" s="46" t="s">
        <v>181</v>
      </c>
      <c r="G26" s="47">
        <v>60</v>
      </c>
      <c r="H26" s="47">
        <v>0</v>
      </c>
      <c r="I26" s="48">
        <f>(H26+G26)*E26</f>
        <v>1704.0719999999999</v>
      </c>
      <c r="L26" s="1"/>
    </row>
    <row r="27" spans="1:13" ht="15" thickBot="1" x14ac:dyDescent="0.25">
      <c r="A27" s="272" t="s">
        <v>52</v>
      </c>
      <c r="B27" s="273"/>
      <c r="C27" s="273"/>
      <c r="D27" s="273"/>
      <c r="E27" s="273"/>
      <c r="F27" s="273"/>
      <c r="G27" s="273"/>
      <c r="H27" s="273"/>
      <c r="I27" s="53">
        <f>ROUND(SUM(I25:I26),2)</f>
        <v>5092.62</v>
      </c>
      <c r="J27" s="54">
        <f>I27*1.2388</f>
        <v>6308.7376559999993</v>
      </c>
      <c r="K27" s="1">
        <f>H27*E27</f>
        <v>0</v>
      </c>
      <c r="L27" s="1">
        <f>K27+J27</f>
        <v>6308.7376559999993</v>
      </c>
    </row>
    <row r="28" spans="1:13" ht="15" thickBot="1" x14ac:dyDescent="0.25">
      <c r="A28" s="34" t="s">
        <v>1</v>
      </c>
      <c r="B28" s="35" t="s">
        <v>44</v>
      </c>
      <c r="C28" s="36" t="s">
        <v>45</v>
      </c>
      <c r="D28" s="37" t="s">
        <v>2</v>
      </c>
      <c r="E28" s="38" t="s">
        <v>3</v>
      </c>
      <c r="F28" s="34" t="s">
        <v>4</v>
      </c>
      <c r="G28" s="39" t="s">
        <v>5</v>
      </c>
      <c r="H28" s="39" t="s">
        <v>6</v>
      </c>
      <c r="I28" s="40" t="s">
        <v>7</v>
      </c>
    </row>
    <row r="29" spans="1:13" x14ac:dyDescent="0.2">
      <c r="A29" s="41">
        <v>3</v>
      </c>
      <c r="B29" s="42" t="s">
        <v>8</v>
      </c>
      <c r="C29" s="42">
        <v>40000</v>
      </c>
      <c r="D29" s="256" t="s">
        <v>13</v>
      </c>
      <c r="E29" s="256"/>
      <c r="F29" s="256"/>
      <c r="G29" s="256"/>
      <c r="H29" s="256"/>
      <c r="I29" s="257"/>
      <c r="J29" s="1">
        <f>G29*E29</f>
        <v>0</v>
      </c>
      <c r="K29" s="1">
        <f>H29*E29</f>
        <v>0</v>
      </c>
      <c r="L29" s="1">
        <f>K29+J29</f>
        <v>0</v>
      </c>
    </row>
    <row r="30" spans="1:13" x14ac:dyDescent="0.2">
      <c r="A30" s="59" t="s">
        <v>106</v>
      </c>
      <c r="B30" s="50" t="s">
        <v>8</v>
      </c>
      <c r="C30" s="50">
        <v>40905</v>
      </c>
      <c r="D30" s="51" t="s">
        <v>104</v>
      </c>
      <c r="E30" s="46">
        <f>'MEMÓRIA DE CÁLCULO'!D51</f>
        <v>511.58</v>
      </c>
      <c r="F30" s="46" t="s">
        <v>28</v>
      </c>
      <c r="G30" s="47">
        <v>0.14000000000000001</v>
      </c>
      <c r="H30" s="47">
        <v>0.24</v>
      </c>
      <c r="I30" s="48">
        <f t="shared" ref="I30:I33" si="1">(H30+G30)*E30</f>
        <v>194.40039999999999</v>
      </c>
      <c r="L30" s="1"/>
    </row>
    <row r="31" spans="1:13" x14ac:dyDescent="0.2">
      <c r="A31" s="59" t="s">
        <v>107</v>
      </c>
      <c r="B31" s="50" t="s">
        <v>8</v>
      </c>
      <c r="C31" s="50">
        <v>41005</v>
      </c>
      <c r="D31" s="51" t="s">
        <v>105</v>
      </c>
      <c r="E31" s="46">
        <f>'MEMÓRIA DE CÁLCULO'!D55</f>
        <v>130</v>
      </c>
      <c r="F31" s="46" t="s">
        <v>181</v>
      </c>
      <c r="G31" s="47">
        <v>1.0900000000000001</v>
      </c>
      <c r="H31" s="47">
        <v>0</v>
      </c>
      <c r="I31" s="48">
        <f t="shared" si="1"/>
        <v>141.70000000000002</v>
      </c>
      <c r="L31" s="1"/>
    </row>
    <row r="32" spans="1:13" ht="25.5" x14ac:dyDescent="0.2">
      <c r="A32" s="59" t="s">
        <v>108</v>
      </c>
      <c r="B32" s="50" t="s">
        <v>8</v>
      </c>
      <c r="C32" s="50">
        <v>41140</v>
      </c>
      <c r="D32" s="51" t="s">
        <v>198</v>
      </c>
      <c r="E32" s="46">
        <f>'MEMÓRIA DE CÁLCULO'!D58</f>
        <v>2840.12</v>
      </c>
      <c r="F32" s="46" t="s">
        <v>28</v>
      </c>
      <c r="G32" s="47">
        <v>0</v>
      </c>
      <c r="H32" s="47">
        <v>1.96</v>
      </c>
      <c r="I32" s="48">
        <f t="shared" si="1"/>
        <v>5566.6351999999997</v>
      </c>
      <c r="L32" s="1"/>
    </row>
    <row r="33" spans="1:12" ht="15" thickBot="1" x14ac:dyDescent="0.25">
      <c r="A33" s="252" t="s">
        <v>109</v>
      </c>
      <c r="B33" s="50" t="s">
        <v>97</v>
      </c>
      <c r="C33" s="50">
        <v>6081</v>
      </c>
      <c r="D33" s="60" t="s">
        <v>179</v>
      </c>
      <c r="E33" s="46">
        <f>'MEMÓRIA DE CÁLCULO'!D62</f>
        <v>130</v>
      </c>
      <c r="F33" s="61" t="s">
        <v>181</v>
      </c>
      <c r="G33" s="264">
        <v>52.19</v>
      </c>
      <c r="H33" s="265"/>
      <c r="I33" s="48">
        <f t="shared" si="1"/>
        <v>6784.7</v>
      </c>
      <c r="L33" s="1"/>
    </row>
    <row r="34" spans="1:12" ht="15" thickBot="1" x14ac:dyDescent="0.25">
      <c r="A34" s="272" t="s">
        <v>52</v>
      </c>
      <c r="B34" s="273"/>
      <c r="C34" s="273"/>
      <c r="D34" s="273"/>
      <c r="E34" s="273"/>
      <c r="F34" s="273"/>
      <c r="G34" s="273"/>
      <c r="H34" s="273"/>
      <c r="I34" s="53">
        <f>ROUND(SUM(I30:I33),2)</f>
        <v>12687.44</v>
      </c>
      <c r="J34" s="54">
        <f>I34*1.2388</f>
        <v>15717.200671999999</v>
      </c>
      <c r="K34" s="1">
        <f>H34*E34</f>
        <v>0</v>
      </c>
      <c r="L34" s="1">
        <f>K34+J34</f>
        <v>15717.200671999999</v>
      </c>
    </row>
    <row r="35" spans="1:12" ht="15" thickBot="1" x14ac:dyDescent="0.25">
      <c r="A35" s="34" t="s">
        <v>1</v>
      </c>
      <c r="B35" s="35" t="s">
        <v>44</v>
      </c>
      <c r="C35" s="36" t="s">
        <v>45</v>
      </c>
      <c r="D35" s="37" t="s">
        <v>2</v>
      </c>
      <c r="E35" s="38" t="s">
        <v>3</v>
      </c>
      <c r="F35" s="34" t="s">
        <v>4</v>
      </c>
      <c r="G35" s="39" t="s">
        <v>5</v>
      </c>
      <c r="H35" s="39" t="s">
        <v>6</v>
      </c>
      <c r="I35" s="40" t="s">
        <v>7</v>
      </c>
    </row>
    <row r="36" spans="1:12" x14ac:dyDescent="0.2">
      <c r="A36" s="41">
        <v>4</v>
      </c>
      <c r="B36" s="42" t="s">
        <v>14</v>
      </c>
      <c r="C36" s="42">
        <v>50000</v>
      </c>
      <c r="D36" s="256" t="s">
        <v>15</v>
      </c>
      <c r="E36" s="256"/>
      <c r="F36" s="256"/>
      <c r="G36" s="256"/>
      <c r="H36" s="256"/>
      <c r="I36" s="257"/>
      <c r="J36" s="1">
        <f>G36*E36</f>
        <v>0</v>
      </c>
      <c r="K36" s="1">
        <f>H36*E36</f>
        <v>0</v>
      </c>
      <c r="L36" s="1">
        <f>K36+J36</f>
        <v>0</v>
      </c>
    </row>
    <row r="37" spans="1:12" x14ac:dyDescent="0.2">
      <c r="A37" s="59" t="s">
        <v>116</v>
      </c>
      <c r="B37" s="50" t="s">
        <v>14</v>
      </c>
      <c r="C37" s="50">
        <v>50901</v>
      </c>
      <c r="D37" s="51" t="s">
        <v>111</v>
      </c>
      <c r="E37" s="46">
        <f>'MEMÓRIA DE CÁLCULO'!D70</f>
        <v>1.5</v>
      </c>
      <c r="F37" s="46" t="s">
        <v>181</v>
      </c>
      <c r="G37" s="47">
        <v>0</v>
      </c>
      <c r="H37" s="47">
        <v>31.32</v>
      </c>
      <c r="I37" s="48">
        <f t="shared" ref="I37:I41" si="2">(H37+G37)*E37</f>
        <v>46.980000000000004</v>
      </c>
      <c r="L37" s="1"/>
    </row>
    <row r="38" spans="1:12" x14ac:dyDescent="0.2">
      <c r="A38" s="59" t="s">
        <v>117</v>
      </c>
      <c r="B38" s="50" t="s">
        <v>14</v>
      </c>
      <c r="C38" s="50">
        <v>50902</v>
      </c>
      <c r="D38" s="51" t="s">
        <v>112</v>
      </c>
      <c r="E38" s="46">
        <f>'MEMÓRIA DE CÁLCULO'!D76</f>
        <v>3</v>
      </c>
      <c r="F38" s="46" t="s">
        <v>28</v>
      </c>
      <c r="G38" s="47">
        <v>0</v>
      </c>
      <c r="H38" s="47">
        <v>3.86</v>
      </c>
      <c r="I38" s="48">
        <f t="shared" si="2"/>
        <v>11.58</v>
      </c>
      <c r="L38" s="1"/>
    </row>
    <row r="39" spans="1:12" ht="14.25" customHeight="1" x14ac:dyDescent="0.2">
      <c r="A39" s="59" t="s">
        <v>118</v>
      </c>
      <c r="B39" s="50" t="s">
        <v>14</v>
      </c>
      <c r="C39" s="50">
        <v>51030</v>
      </c>
      <c r="D39" s="51" t="s">
        <v>113</v>
      </c>
      <c r="E39" s="46">
        <f>'MEMÓRIA DE CÁLCULO'!D82</f>
        <v>1.5</v>
      </c>
      <c r="F39" s="46" t="s">
        <v>181</v>
      </c>
      <c r="G39" s="47">
        <v>350.7</v>
      </c>
      <c r="H39" s="47">
        <v>57.19</v>
      </c>
      <c r="I39" s="48">
        <f t="shared" si="2"/>
        <v>611.83500000000004</v>
      </c>
      <c r="L39" s="1"/>
    </row>
    <row r="40" spans="1:12" x14ac:dyDescent="0.2">
      <c r="A40" s="59" t="s">
        <v>119</v>
      </c>
      <c r="B40" s="50" t="s">
        <v>14</v>
      </c>
      <c r="C40" s="50">
        <v>51055</v>
      </c>
      <c r="D40" s="51" t="s">
        <v>114</v>
      </c>
      <c r="E40" s="46">
        <f>'MEMÓRIA DE CÁLCULO'!D88</f>
        <v>1.5</v>
      </c>
      <c r="F40" s="46" t="s">
        <v>181</v>
      </c>
      <c r="G40" s="47">
        <v>0</v>
      </c>
      <c r="H40" s="47">
        <v>34.729999999999997</v>
      </c>
      <c r="I40" s="48">
        <f t="shared" si="2"/>
        <v>52.094999999999999</v>
      </c>
      <c r="L40" s="1"/>
    </row>
    <row r="41" spans="1:12" ht="15" thickBot="1" x14ac:dyDescent="0.25">
      <c r="A41" s="252" t="s">
        <v>120</v>
      </c>
      <c r="B41" s="50" t="s">
        <v>14</v>
      </c>
      <c r="C41" s="50">
        <v>52004</v>
      </c>
      <c r="D41" s="51" t="s">
        <v>115</v>
      </c>
      <c r="E41" s="46">
        <f>'MEMÓRIA DE CÁLCULO'!D96</f>
        <v>63.136800000000001</v>
      </c>
      <c r="F41" s="46" t="s">
        <v>160</v>
      </c>
      <c r="G41" s="47">
        <v>9.11</v>
      </c>
      <c r="H41" s="47">
        <v>2.0499999999999998</v>
      </c>
      <c r="I41" s="48">
        <f t="shared" si="2"/>
        <v>704.60668799999996</v>
      </c>
      <c r="L41" s="1"/>
    </row>
    <row r="42" spans="1:12" ht="15" thickBot="1" x14ac:dyDescent="0.25">
      <c r="A42" s="272" t="s">
        <v>52</v>
      </c>
      <c r="B42" s="273"/>
      <c r="C42" s="273"/>
      <c r="D42" s="273"/>
      <c r="E42" s="273"/>
      <c r="F42" s="273"/>
      <c r="G42" s="273"/>
      <c r="H42" s="273"/>
      <c r="I42" s="53">
        <f>ROUND(SUM(I37:I41),2)</f>
        <v>1427.1</v>
      </c>
      <c r="J42" s="54">
        <f>I42*1.2388</f>
        <v>1767.8914799999998</v>
      </c>
      <c r="K42" s="1">
        <f>H42*E42</f>
        <v>0</v>
      </c>
      <c r="L42" s="1">
        <f>K42+J42</f>
        <v>1767.8914799999998</v>
      </c>
    </row>
    <row r="43" spans="1:12" ht="15" thickBot="1" x14ac:dyDescent="0.25">
      <c r="A43" s="34" t="s">
        <v>1</v>
      </c>
      <c r="B43" s="35" t="s">
        <v>44</v>
      </c>
      <c r="C43" s="36" t="s">
        <v>45</v>
      </c>
      <c r="D43" s="37" t="s">
        <v>2</v>
      </c>
      <c r="E43" s="38" t="s">
        <v>3</v>
      </c>
      <c r="F43" s="34" t="s">
        <v>4</v>
      </c>
      <c r="G43" s="39" t="s">
        <v>5</v>
      </c>
      <c r="H43" s="39" t="s">
        <v>6</v>
      </c>
      <c r="I43" s="40" t="s">
        <v>7</v>
      </c>
    </row>
    <row r="44" spans="1:12" x14ac:dyDescent="0.2">
      <c r="A44" s="41">
        <v>5</v>
      </c>
      <c r="B44" s="42" t="s">
        <v>14</v>
      </c>
      <c r="C44" s="42">
        <v>70000</v>
      </c>
      <c r="D44" s="256" t="s">
        <v>16</v>
      </c>
      <c r="E44" s="256"/>
      <c r="F44" s="256"/>
      <c r="G44" s="256"/>
      <c r="H44" s="256"/>
      <c r="I44" s="257"/>
      <c r="J44" s="1">
        <f>G44*E44</f>
        <v>0</v>
      </c>
      <c r="K44" s="1">
        <f>H44*E44</f>
        <v>0</v>
      </c>
      <c r="L44" s="1">
        <f>K44+J44</f>
        <v>0</v>
      </c>
    </row>
    <row r="45" spans="1:12" x14ac:dyDescent="0.2">
      <c r="A45" s="62" t="s">
        <v>121</v>
      </c>
      <c r="B45" s="50" t="s">
        <v>8</v>
      </c>
      <c r="C45" s="50">
        <v>70509</v>
      </c>
      <c r="D45" s="51" t="s">
        <v>134</v>
      </c>
      <c r="E45" s="46">
        <f>'MEMÓRIA DE CÁLCULO'!D99</f>
        <v>25.96</v>
      </c>
      <c r="F45" s="46" t="s">
        <v>127</v>
      </c>
      <c r="G45" s="47">
        <v>6.3</v>
      </c>
      <c r="H45" s="47">
        <v>1.79</v>
      </c>
      <c r="I45" s="48">
        <f t="shared" ref="I45:I56" si="3">(H45+G45)*E45</f>
        <v>210.0164</v>
      </c>
      <c r="L45" s="1"/>
    </row>
    <row r="46" spans="1:12" x14ac:dyDescent="0.2">
      <c r="A46" s="62" t="s">
        <v>264</v>
      </c>
      <c r="B46" s="50" t="s">
        <v>8</v>
      </c>
      <c r="C46" s="50">
        <v>70582</v>
      </c>
      <c r="D46" s="51" t="s">
        <v>262</v>
      </c>
      <c r="E46" s="46">
        <f>'MEMÓRIA DE CÁLCULO'!D100</f>
        <v>202.9</v>
      </c>
      <c r="F46" s="46" t="s">
        <v>127</v>
      </c>
      <c r="G46" s="47">
        <v>4.24</v>
      </c>
      <c r="H46" s="47">
        <v>1.54</v>
      </c>
      <c r="I46" s="48">
        <f t="shared" si="3"/>
        <v>1172.7620000000002</v>
      </c>
      <c r="L46" s="1"/>
    </row>
    <row r="47" spans="1:12" x14ac:dyDescent="0.2">
      <c r="A47" s="62" t="s">
        <v>265</v>
      </c>
      <c r="B47" s="50" t="s">
        <v>8</v>
      </c>
      <c r="C47" s="50">
        <v>70583</v>
      </c>
      <c r="D47" s="51" t="s">
        <v>263</v>
      </c>
      <c r="E47" s="46">
        <f>'MEMÓRIA DE CÁLCULO'!D101</f>
        <v>195.38</v>
      </c>
      <c r="F47" s="46" t="s">
        <v>127</v>
      </c>
      <c r="G47" s="47">
        <v>6.28</v>
      </c>
      <c r="H47" s="47">
        <v>1.67</v>
      </c>
      <c r="I47" s="48">
        <f t="shared" si="3"/>
        <v>1553.271</v>
      </c>
      <c r="L47" s="1"/>
    </row>
    <row r="48" spans="1:12" x14ac:dyDescent="0.2">
      <c r="A48" s="62" t="s">
        <v>266</v>
      </c>
      <c r="B48" s="50" t="s">
        <v>8</v>
      </c>
      <c r="C48" s="50">
        <v>70634</v>
      </c>
      <c r="D48" s="51" t="s">
        <v>131</v>
      </c>
      <c r="E48" s="46">
        <f>'MEMÓRIA DE CÁLCULO'!D102</f>
        <v>0.24000000000000005</v>
      </c>
      <c r="F48" s="46" t="s">
        <v>28</v>
      </c>
      <c r="G48" s="47">
        <v>69.14</v>
      </c>
      <c r="H48" s="47">
        <v>13.01</v>
      </c>
      <c r="I48" s="48">
        <f t="shared" si="3"/>
        <v>19.716000000000005</v>
      </c>
      <c r="L48" s="1"/>
    </row>
    <row r="49" spans="1:12" ht="14.25" customHeight="1" x14ac:dyDescent="0.2">
      <c r="A49" s="62" t="s">
        <v>267</v>
      </c>
      <c r="B49" s="50" t="s">
        <v>8</v>
      </c>
      <c r="C49" s="50">
        <v>70709</v>
      </c>
      <c r="D49" s="51" t="s">
        <v>132</v>
      </c>
      <c r="E49" s="46">
        <f>'MEMÓRIA DE CÁLCULO'!D103</f>
        <v>6</v>
      </c>
      <c r="F49" s="46" t="s">
        <v>228</v>
      </c>
      <c r="G49" s="47">
        <v>24.17</v>
      </c>
      <c r="H49" s="47">
        <v>26.33</v>
      </c>
      <c r="I49" s="48">
        <f t="shared" si="3"/>
        <v>303</v>
      </c>
      <c r="L49" s="1"/>
    </row>
    <row r="50" spans="1:12" ht="25.5" x14ac:dyDescent="0.2">
      <c r="A50" s="62" t="s">
        <v>268</v>
      </c>
      <c r="B50" s="50" t="s">
        <v>8</v>
      </c>
      <c r="C50" s="50">
        <v>71196</v>
      </c>
      <c r="D50" s="51" t="s">
        <v>133</v>
      </c>
      <c r="E50" s="46">
        <f>'MEMÓRIA DE CÁLCULO'!D104</f>
        <v>116.6</v>
      </c>
      <c r="F50" s="46" t="s">
        <v>127</v>
      </c>
      <c r="G50" s="47">
        <v>2.29</v>
      </c>
      <c r="H50" s="47">
        <v>5.12</v>
      </c>
      <c r="I50" s="48">
        <f t="shared" si="3"/>
        <v>864.00599999999997</v>
      </c>
      <c r="L50" s="1"/>
    </row>
    <row r="51" spans="1:12" x14ac:dyDescent="0.2">
      <c r="A51" s="62" t="s">
        <v>269</v>
      </c>
      <c r="B51" s="50" t="s">
        <v>8</v>
      </c>
      <c r="C51" s="50">
        <v>71381</v>
      </c>
      <c r="D51" s="51" t="s">
        <v>135</v>
      </c>
      <c r="E51" s="46">
        <f>'MEMÓRIA DE CÁLCULO'!D105</f>
        <v>1</v>
      </c>
      <c r="F51" s="46" t="s">
        <v>228</v>
      </c>
      <c r="G51" s="47">
        <v>67.87</v>
      </c>
      <c r="H51" s="47">
        <v>10.25</v>
      </c>
      <c r="I51" s="48">
        <f t="shared" si="3"/>
        <v>78.12</v>
      </c>
      <c r="L51" s="1"/>
    </row>
    <row r="52" spans="1:12" x14ac:dyDescent="0.2">
      <c r="A52" s="62" t="s">
        <v>270</v>
      </c>
      <c r="B52" s="50" t="s">
        <v>8</v>
      </c>
      <c r="C52" s="50">
        <v>71826</v>
      </c>
      <c r="D52" s="51" t="s">
        <v>261</v>
      </c>
      <c r="E52" s="46">
        <f>'MEMÓRIA DE CÁLCULO'!D106</f>
        <v>1</v>
      </c>
      <c r="F52" s="46" t="s">
        <v>228</v>
      </c>
      <c r="G52" s="47">
        <v>2017.85</v>
      </c>
      <c r="H52" s="47">
        <v>58.98</v>
      </c>
      <c r="I52" s="48">
        <f t="shared" si="3"/>
        <v>2076.83</v>
      </c>
      <c r="L52" s="1"/>
    </row>
    <row r="53" spans="1:12" ht="38.25" x14ac:dyDescent="0.2">
      <c r="A53" s="62" t="s">
        <v>271</v>
      </c>
      <c r="B53" s="50" t="s">
        <v>8</v>
      </c>
      <c r="C53" s="50">
        <v>71991</v>
      </c>
      <c r="D53" s="51" t="s">
        <v>212</v>
      </c>
      <c r="E53" s="46">
        <f>'MEMÓRIA DE CÁLCULO'!D107</f>
        <v>6</v>
      </c>
      <c r="F53" s="46" t="s">
        <v>228</v>
      </c>
      <c r="G53" s="47">
        <v>1577.67</v>
      </c>
      <c r="H53" s="47">
        <v>15.21</v>
      </c>
      <c r="I53" s="48">
        <f t="shared" si="3"/>
        <v>9557.2800000000007</v>
      </c>
      <c r="L53" s="1"/>
    </row>
    <row r="54" spans="1:12" x14ac:dyDescent="0.2">
      <c r="A54" s="62" t="s">
        <v>272</v>
      </c>
      <c r="B54" s="50" t="s">
        <v>8</v>
      </c>
      <c r="C54" s="50">
        <v>72320</v>
      </c>
      <c r="D54" s="51" t="s">
        <v>136</v>
      </c>
      <c r="E54" s="46">
        <f>'MEMÓRIA DE CÁLCULO'!D108</f>
        <v>6</v>
      </c>
      <c r="F54" s="46" t="s">
        <v>228</v>
      </c>
      <c r="G54" s="47">
        <v>37.99</v>
      </c>
      <c r="H54" s="47">
        <v>25.61</v>
      </c>
      <c r="I54" s="48">
        <f t="shared" si="3"/>
        <v>381.6</v>
      </c>
      <c r="L54" s="1"/>
    </row>
    <row r="55" spans="1:12" ht="25.5" x14ac:dyDescent="0.2">
      <c r="A55" s="62" t="s">
        <v>273</v>
      </c>
      <c r="B55" s="50" t="s">
        <v>24</v>
      </c>
      <c r="C55" s="50">
        <v>101657</v>
      </c>
      <c r="D55" s="51" t="s">
        <v>145</v>
      </c>
      <c r="E55" s="46">
        <f>'MEMÓRIA DE CÁLCULO'!D109</f>
        <v>24</v>
      </c>
      <c r="F55" s="46" t="s">
        <v>228</v>
      </c>
      <c r="G55" s="264">
        <v>569.79</v>
      </c>
      <c r="H55" s="265"/>
      <c r="I55" s="48">
        <f t="shared" si="3"/>
        <v>13674.96</v>
      </c>
      <c r="L55" s="1"/>
    </row>
    <row r="56" spans="1:12" ht="15" thickBot="1" x14ac:dyDescent="0.25">
      <c r="A56" s="253" t="s">
        <v>274</v>
      </c>
      <c r="B56" s="50" t="s">
        <v>8</v>
      </c>
      <c r="C56" s="50">
        <v>72369</v>
      </c>
      <c r="D56" s="51" t="s">
        <v>146</v>
      </c>
      <c r="E56" s="46">
        <f>'MEMÓRIA DE CÁLCULO'!D110</f>
        <v>6</v>
      </c>
      <c r="F56" s="46" t="s">
        <v>228</v>
      </c>
      <c r="G56" s="47">
        <v>158.76</v>
      </c>
      <c r="H56" s="47">
        <v>6.4</v>
      </c>
      <c r="I56" s="48">
        <f t="shared" si="3"/>
        <v>990.96</v>
      </c>
      <c r="L56" s="1"/>
    </row>
    <row r="57" spans="1:12" ht="15" thickBot="1" x14ac:dyDescent="0.25">
      <c r="A57" s="272" t="s">
        <v>52</v>
      </c>
      <c r="B57" s="273"/>
      <c r="C57" s="273"/>
      <c r="D57" s="273"/>
      <c r="E57" s="273"/>
      <c r="F57" s="273"/>
      <c r="G57" s="273"/>
      <c r="H57" s="273"/>
      <c r="I57" s="53">
        <f>ROUND(SUM(I45:I56),2)</f>
        <v>30882.52</v>
      </c>
      <c r="J57" s="54">
        <f>I57*1.2388</f>
        <v>38257.265776</v>
      </c>
      <c r="K57" s="1">
        <f>H57*E57</f>
        <v>0</v>
      </c>
      <c r="L57" s="1">
        <f>K57+J57</f>
        <v>38257.265776</v>
      </c>
    </row>
    <row r="58" spans="1:12" ht="15" thickBot="1" x14ac:dyDescent="0.25">
      <c r="A58" s="34" t="s">
        <v>1</v>
      </c>
      <c r="B58" s="35" t="s">
        <v>44</v>
      </c>
      <c r="C58" s="36" t="s">
        <v>45</v>
      </c>
      <c r="D58" s="37" t="s">
        <v>2</v>
      </c>
      <c r="E58" s="38" t="s">
        <v>3</v>
      </c>
      <c r="F58" s="34" t="s">
        <v>4</v>
      </c>
      <c r="G58" s="39" t="s">
        <v>5</v>
      </c>
      <c r="H58" s="39" t="s">
        <v>6</v>
      </c>
      <c r="I58" s="40" t="s">
        <v>7</v>
      </c>
    </row>
    <row r="59" spans="1:12" x14ac:dyDescent="0.2">
      <c r="A59" s="41">
        <v>6</v>
      </c>
      <c r="B59" s="42" t="s">
        <v>14</v>
      </c>
      <c r="C59" s="42">
        <v>80000</v>
      </c>
      <c r="D59" s="256" t="s">
        <v>17</v>
      </c>
      <c r="E59" s="256"/>
      <c r="F59" s="256"/>
      <c r="G59" s="256"/>
      <c r="H59" s="256"/>
      <c r="I59" s="257"/>
      <c r="J59" s="1">
        <f>G59*E59</f>
        <v>0</v>
      </c>
      <c r="K59" s="1">
        <f>H59*E59</f>
        <v>0</v>
      </c>
      <c r="L59" s="1">
        <f>K59+J59</f>
        <v>0</v>
      </c>
    </row>
    <row r="60" spans="1:12" ht="15.75" customHeight="1" x14ac:dyDescent="0.2">
      <c r="A60" s="62" t="s">
        <v>137</v>
      </c>
      <c r="B60" s="65" t="s">
        <v>8</v>
      </c>
      <c r="C60" s="351">
        <v>80811</v>
      </c>
      <c r="D60" s="63" t="s">
        <v>200</v>
      </c>
      <c r="E60" s="64">
        <f>'MEMÓRIA DE CÁLCULO'!D113</f>
        <v>2</v>
      </c>
      <c r="F60" s="64" t="s">
        <v>228</v>
      </c>
      <c r="G60" s="68">
        <v>44.06</v>
      </c>
      <c r="H60" s="66">
        <v>5.12</v>
      </c>
      <c r="I60" s="48">
        <f t="shared" ref="I60:I67" si="4">(H60+G60)*E60</f>
        <v>98.36</v>
      </c>
      <c r="L60" s="1"/>
    </row>
    <row r="61" spans="1:12" x14ac:dyDescent="0.2">
      <c r="A61" s="62" t="s">
        <v>138</v>
      </c>
      <c r="B61" s="65" t="s">
        <v>8</v>
      </c>
      <c r="C61" s="351">
        <v>81003</v>
      </c>
      <c r="D61" s="63" t="s">
        <v>201</v>
      </c>
      <c r="E61" s="64">
        <f>'MEMÓRIA DE CÁLCULO'!D114</f>
        <v>53.13</v>
      </c>
      <c r="F61" s="64" t="s">
        <v>127</v>
      </c>
      <c r="G61" s="66">
        <v>4.71</v>
      </c>
      <c r="H61" s="66">
        <v>3.08</v>
      </c>
      <c r="I61" s="48">
        <f t="shared" si="4"/>
        <v>413.8827</v>
      </c>
      <c r="L61" s="1"/>
    </row>
    <row r="62" spans="1:12" x14ac:dyDescent="0.2">
      <c r="A62" s="62" t="s">
        <v>139</v>
      </c>
      <c r="B62" s="65" t="s">
        <v>8</v>
      </c>
      <c r="C62" s="351">
        <v>81321</v>
      </c>
      <c r="D62" s="63" t="s">
        <v>202</v>
      </c>
      <c r="E62" s="64">
        <f>'MEMÓRIA DE CÁLCULO'!D115</f>
        <v>6</v>
      </c>
      <c r="F62" s="64" t="s">
        <v>228</v>
      </c>
      <c r="G62" s="66">
        <v>0.91</v>
      </c>
      <c r="H62" s="66">
        <v>4.6100000000000003</v>
      </c>
      <c r="I62" s="48">
        <f t="shared" si="4"/>
        <v>33.120000000000005</v>
      </c>
      <c r="L62" s="1"/>
    </row>
    <row r="63" spans="1:12" x14ac:dyDescent="0.2">
      <c r="A63" s="62" t="s">
        <v>140</v>
      </c>
      <c r="B63" s="65" t="s">
        <v>8</v>
      </c>
      <c r="C63" s="351">
        <v>81369</v>
      </c>
      <c r="D63" s="63" t="s">
        <v>260</v>
      </c>
      <c r="E63" s="64">
        <f>'MEMÓRIA DE CÁLCULO'!D116</f>
        <v>2</v>
      </c>
      <c r="F63" s="64" t="s">
        <v>228</v>
      </c>
      <c r="G63" s="66">
        <v>9.23</v>
      </c>
      <c r="H63" s="66">
        <v>2.92</v>
      </c>
      <c r="I63" s="48">
        <f t="shared" si="4"/>
        <v>24.3</v>
      </c>
      <c r="L63" s="1"/>
    </row>
    <row r="64" spans="1:12" x14ac:dyDescent="0.2">
      <c r="A64" s="62" t="s">
        <v>141</v>
      </c>
      <c r="B64" s="65" t="s">
        <v>8</v>
      </c>
      <c r="C64" s="351">
        <v>81402</v>
      </c>
      <c r="D64" s="63" t="s">
        <v>203</v>
      </c>
      <c r="E64" s="64">
        <f>'MEMÓRIA DE CÁLCULO'!D117</f>
        <v>1</v>
      </c>
      <c r="F64" s="64" t="s">
        <v>228</v>
      </c>
      <c r="G64" s="68">
        <v>1.55</v>
      </c>
      <c r="H64" s="66">
        <v>4.8600000000000003</v>
      </c>
      <c r="I64" s="48">
        <f t="shared" si="4"/>
        <v>6.41</v>
      </c>
      <c r="L64" s="1"/>
    </row>
    <row r="65" spans="1:12" x14ac:dyDescent="0.2">
      <c r="A65" s="62" t="s">
        <v>142</v>
      </c>
      <c r="B65" s="65" t="s">
        <v>8</v>
      </c>
      <c r="C65" s="65">
        <v>81462</v>
      </c>
      <c r="D65" s="63" t="s">
        <v>204</v>
      </c>
      <c r="E65" s="64">
        <f>'MEMÓRIA DE CÁLCULO'!D118</f>
        <v>8</v>
      </c>
      <c r="F65" s="64" t="s">
        <v>228</v>
      </c>
      <c r="G65" s="68">
        <v>11.16</v>
      </c>
      <c r="H65" s="68">
        <v>2.31</v>
      </c>
      <c r="I65" s="48">
        <f t="shared" si="4"/>
        <v>107.76</v>
      </c>
      <c r="L65" s="1"/>
    </row>
    <row r="66" spans="1:12" x14ac:dyDescent="0.2">
      <c r="A66" s="62" t="s">
        <v>143</v>
      </c>
      <c r="B66" s="65" t="s">
        <v>8</v>
      </c>
      <c r="C66" s="65">
        <v>81811</v>
      </c>
      <c r="D66" s="63" t="s">
        <v>205</v>
      </c>
      <c r="E66" s="64">
        <f>'MEMÓRIA DE CÁLCULO'!D119</f>
        <v>1</v>
      </c>
      <c r="F66" s="64" t="s">
        <v>228</v>
      </c>
      <c r="G66" s="68">
        <v>93.44</v>
      </c>
      <c r="H66" s="68">
        <v>12.81</v>
      </c>
      <c r="I66" s="48">
        <f t="shared" si="4"/>
        <v>106.25</v>
      </c>
      <c r="L66" s="1"/>
    </row>
    <row r="67" spans="1:12" ht="15" thickBot="1" x14ac:dyDescent="0.25">
      <c r="A67" s="253" t="s">
        <v>144</v>
      </c>
      <c r="B67" s="65" t="s">
        <v>8</v>
      </c>
      <c r="C67" s="65">
        <v>81815</v>
      </c>
      <c r="D67" s="63" t="s">
        <v>231</v>
      </c>
      <c r="E67" s="64">
        <f>'MEMÓRIA DE CÁLCULO'!D120</f>
        <v>1</v>
      </c>
      <c r="F67" s="64" t="s">
        <v>228</v>
      </c>
      <c r="G67" s="68">
        <v>180.11</v>
      </c>
      <c r="H67" s="68">
        <v>90.93</v>
      </c>
      <c r="I67" s="48">
        <f t="shared" si="4"/>
        <v>271.04000000000002</v>
      </c>
      <c r="L67" s="1"/>
    </row>
    <row r="68" spans="1:12" ht="15" thickBot="1" x14ac:dyDescent="0.25">
      <c r="A68" s="272" t="s">
        <v>52</v>
      </c>
      <c r="B68" s="273"/>
      <c r="C68" s="273"/>
      <c r="D68" s="273"/>
      <c r="E68" s="273"/>
      <c r="F68" s="273"/>
      <c r="G68" s="273"/>
      <c r="H68" s="273"/>
      <c r="I68" s="53">
        <f>ROUND(SUM(I60:I67),2)</f>
        <v>1061.1199999999999</v>
      </c>
      <c r="J68" s="54">
        <f>I68*1.2388</f>
        <v>1314.5154559999999</v>
      </c>
      <c r="K68" s="1">
        <f>H68*E68</f>
        <v>0</v>
      </c>
      <c r="L68" s="1">
        <f>K68+J68</f>
        <v>1314.5154559999999</v>
      </c>
    </row>
    <row r="69" spans="1:12" ht="15" thickBot="1" x14ac:dyDescent="0.25">
      <c r="A69" s="34" t="s">
        <v>1</v>
      </c>
      <c r="B69" s="35" t="s">
        <v>44</v>
      </c>
      <c r="C69" s="36" t="s">
        <v>45</v>
      </c>
      <c r="D69" s="37" t="s">
        <v>2</v>
      </c>
      <c r="E69" s="38" t="s">
        <v>3</v>
      </c>
      <c r="F69" s="34" t="s">
        <v>4</v>
      </c>
      <c r="G69" s="39" t="s">
        <v>5</v>
      </c>
      <c r="H69" s="39" t="s">
        <v>6</v>
      </c>
      <c r="I69" s="40" t="s">
        <v>7</v>
      </c>
      <c r="J69" s="1" t="e">
        <f>G69*E69</f>
        <v>#VALUE!</v>
      </c>
      <c r="K69" s="1" t="e">
        <f>H69*E69</f>
        <v>#VALUE!</v>
      </c>
      <c r="L69" s="2" t="e">
        <f>K69+J69</f>
        <v>#VALUE!</v>
      </c>
    </row>
    <row r="70" spans="1:12" x14ac:dyDescent="0.2">
      <c r="A70" s="41">
        <v>7</v>
      </c>
      <c r="B70" s="42" t="s">
        <v>8</v>
      </c>
      <c r="C70" s="42">
        <v>140000</v>
      </c>
      <c r="D70" s="260" t="s">
        <v>18</v>
      </c>
      <c r="E70" s="261"/>
      <c r="F70" s="261"/>
      <c r="G70" s="261"/>
      <c r="H70" s="261"/>
      <c r="I70" s="262"/>
      <c r="J70" s="1">
        <f>G70*E70</f>
        <v>0</v>
      </c>
      <c r="K70" s="1">
        <f>H70*E70</f>
        <v>0</v>
      </c>
      <c r="L70" s="1">
        <f>K70+J70</f>
        <v>0</v>
      </c>
    </row>
    <row r="71" spans="1:12" ht="16.5" customHeight="1" x14ac:dyDescent="0.2">
      <c r="A71" s="250" t="s">
        <v>206</v>
      </c>
      <c r="B71" s="72" t="s">
        <v>153</v>
      </c>
      <c r="C71" s="72">
        <v>2133</v>
      </c>
      <c r="D71" s="73" t="s">
        <v>233</v>
      </c>
      <c r="E71" s="69">
        <f>'MEMÓRIA DE CÁLCULO'!D128</f>
        <v>84</v>
      </c>
      <c r="F71" s="223" t="s">
        <v>152</v>
      </c>
      <c r="G71" s="258">
        <v>26.47</v>
      </c>
      <c r="H71" s="259"/>
      <c r="I71" s="48">
        <f t="shared" ref="I71" si="5">(H71+G71)*E71</f>
        <v>2223.48</v>
      </c>
      <c r="J71" s="54"/>
      <c r="K71" s="54"/>
      <c r="L71" s="54"/>
    </row>
    <row r="72" spans="1:12" ht="16.5" customHeight="1" x14ac:dyDescent="0.2">
      <c r="A72" s="250" t="s">
        <v>207</v>
      </c>
      <c r="B72" s="72" t="s">
        <v>153</v>
      </c>
      <c r="C72" s="72">
        <v>2132</v>
      </c>
      <c r="D72" s="73" t="s">
        <v>151</v>
      </c>
      <c r="E72" s="69">
        <f>'MEMÓRIA DE CÁLCULO'!D134</f>
        <v>24</v>
      </c>
      <c r="F72" s="72" t="s">
        <v>152</v>
      </c>
      <c r="G72" s="268">
        <v>35.06</v>
      </c>
      <c r="H72" s="269"/>
      <c r="I72" s="48">
        <f t="shared" ref="I72:I73" si="6">(H72+G72)*E72</f>
        <v>841.44</v>
      </c>
      <c r="J72" s="54"/>
      <c r="K72" s="54"/>
      <c r="L72" s="54"/>
    </row>
    <row r="73" spans="1:12" ht="26.25" thickBot="1" x14ac:dyDescent="0.25">
      <c r="A73" s="254" t="s">
        <v>208</v>
      </c>
      <c r="B73" s="72" t="s">
        <v>97</v>
      </c>
      <c r="C73" s="72">
        <v>35275</v>
      </c>
      <c r="D73" s="73" t="s">
        <v>232</v>
      </c>
      <c r="E73" s="69">
        <f>'MEMÓRIA DE CÁLCULO'!D140</f>
        <v>36</v>
      </c>
      <c r="F73" s="72" t="s">
        <v>110</v>
      </c>
      <c r="G73" s="270">
        <v>110.67</v>
      </c>
      <c r="H73" s="271"/>
      <c r="I73" s="48">
        <f t="shared" si="6"/>
        <v>3984.12</v>
      </c>
      <c r="J73" s="54"/>
      <c r="K73" s="54"/>
      <c r="L73" s="54"/>
    </row>
    <row r="74" spans="1:12" ht="15" thickBot="1" x14ac:dyDescent="0.25">
      <c r="A74" s="272" t="s">
        <v>52</v>
      </c>
      <c r="B74" s="273"/>
      <c r="C74" s="273"/>
      <c r="D74" s="273"/>
      <c r="E74" s="273"/>
      <c r="F74" s="273"/>
      <c r="G74" s="273"/>
      <c r="H74" s="273"/>
      <c r="I74" s="57">
        <f>ROUND(SUM(I71:I73),2)</f>
        <v>7049.04</v>
      </c>
      <c r="J74" s="54">
        <f>I74*1.2388</f>
        <v>8732.3507519999985</v>
      </c>
      <c r="K74" s="54">
        <f>H74*E74</f>
        <v>0</v>
      </c>
      <c r="L74" s="54">
        <f>K74+J74</f>
        <v>8732.3507519999985</v>
      </c>
    </row>
    <row r="75" spans="1:12" ht="15" thickBot="1" x14ac:dyDescent="0.25">
      <c r="A75" s="34" t="s">
        <v>1</v>
      </c>
      <c r="B75" s="34" t="s">
        <v>44</v>
      </c>
      <c r="C75" s="34" t="s">
        <v>45</v>
      </c>
      <c r="D75" s="58" t="s">
        <v>2</v>
      </c>
      <c r="E75" s="34" t="s">
        <v>3</v>
      </c>
      <c r="F75" s="34" t="s">
        <v>4</v>
      </c>
      <c r="G75" s="39" t="s">
        <v>5</v>
      </c>
      <c r="H75" s="39" t="s">
        <v>6</v>
      </c>
      <c r="I75" s="55" t="s">
        <v>7</v>
      </c>
      <c r="J75" s="54"/>
      <c r="K75" s="54"/>
      <c r="L75" s="54"/>
    </row>
    <row r="76" spans="1:12" x14ac:dyDescent="0.2">
      <c r="A76" s="41">
        <v>8</v>
      </c>
      <c r="B76" s="42" t="s">
        <v>8</v>
      </c>
      <c r="C76" s="42">
        <v>220000</v>
      </c>
      <c r="D76" s="260" t="s">
        <v>19</v>
      </c>
      <c r="E76" s="261"/>
      <c r="F76" s="261"/>
      <c r="G76" s="261"/>
      <c r="H76" s="261"/>
      <c r="I76" s="262"/>
      <c r="J76" s="54">
        <f>G76*E76</f>
        <v>0</v>
      </c>
      <c r="K76" s="54">
        <f>H76*E76</f>
        <v>0</v>
      </c>
      <c r="L76" s="54">
        <f>K76+J76</f>
        <v>0</v>
      </c>
    </row>
    <row r="77" spans="1:12" ht="25.5" x14ac:dyDescent="0.2">
      <c r="A77" s="62" t="s">
        <v>211</v>
      </c>
      <c r="B77" s="50" t="s">
        <v>8</v>
      </c>
      <c r="C77" s="50">
        <v>220100</v>
      </c>
      <c r="D77" s="51" t="s">
        <v>158</v>
      </c>
      <c r="E77" s="46">
        <f>'MEMÓRIA DE CÁLCULO'!D145</f>
        <v>513.48</v>
      </c>
      <c r="F77" s="50" t="s">
        <v>28</v>
      </c>
      <c r="G77" s="47">
        <v>41.19</v>
      </c>
      <c r="H77" s="47">
        <v>28.35</v>
      </c>
      <c r="I77" s="48">
        <f t="shared" ref="I77:I79" si="7">(H77+G77)*E77</f>
        <v>35707.3992</v>
      </c>
      <c r="J77" s="54"/>
      <c r="K77" s="54"/>
      <c r="L77" s="54"/>
    </row>
    <row r="78" spans="1:12" x14ac:dyDescent="0.2">
      <c r="A78" s="62" t="s">
        <v>275</v>
      </c>
      <c r="B78" s="50" t="s">
        <v>8</v>
      </c>
      <c r="C78" s="50">
        <v>220102</v>
      </c>
      <c r="D78" s="51" t="s">
        <v>159</v>
      </c>
      <c r="E78" s="46">
        <f>'MEMÓRIA DE CÁLCULO'!D148</f>
        <v>511.58</v>
      </c>
      <c r="F78" s="46" t="s">
        <v>28</v>
      </c>
      <c r="G78" s="47">
        <v>18.22</v>
      </c>
      <c r="H78" s="47">
        <v>9.2100000000000009</v>
      </c>
      <c r="I78" s="48">
        <f t="shared" si="7"/>
        <v>14032.6394</v>
      </c>
      <c r="J78" s="54"/>
      <c r="K78" s="54"/>
      <c r="L78" s="54"/>
    </row>
    <row r="79" spans="1:12" s="19" customFormat="1" ht="26.25" thickBot="1" x14ac:dyDescent="0.25">
      <c r="A79" s="253" t="s">
        <v>276</v>
      </c>
      <c r="B79" s="65" t="s">
        <v>8</v>
      </c>
      <c r="C79" s="65">
        <v>221126</v>
      </c>
      <c r="D79" s="63" t="s">
        <v>188</v>
      </c>
      <c r="E79" s="64">
        <f>'MEMÓRIA DE CÁLCULO'!D152</f>
        <v>1.2000000000000002</v>
      </c>
      <c r="F79" s="65" t="s">
        <v>28</v>
      </c>
      <c r="G79" s="74">
        <v>79.819999999999993</v>
      </c>
      <c r="H79" s="74">
        <v>17.95</v>
      </c>
      <c r="I79" s="75">
        <f t="shared" si="7"/>
        <v>117.32400000000001</v>
      </c>
      <c r="J79" s="76"/>
      <c r="K79" s="76"/>
      <c r="L79" s="76"/>
    </row>
    <row r="80" spans="1:12" ht="15" thickBot="1" x14ac:dyDescent="0.25">
      <c r="A80" s="272" t="s">
        <v>52</v>
      </c>
      <c r="B80" s="273"/>
      <c r="C80" s="273"/>
      <c r="D80" s="273"/>
      <c r="E80" s="273"/>
      <c r="F80" s="273"/>
      <c r="G80" s="273"/>
      <c r="H80" s="273"/>
      <c r="I80" s="57">
        <f>ROUND(SUM(I77:I79),2)</f>
        <v>49857.36</v>
      </c>
      <c r="J80" s="54">
        <f>I80*1.2388</f>
        <v>61763.297567999994</v>
      </c>
      <c r="K80" s="54">
        <f>H80*E80</f>
        <v>0</v>
      </c>
      <c r="L80" s="54">
        <f>K80+J80</f>
        <v>61763.297567999994</v>
      </c>
    </row>
    <row r="81" spans="1:13" ht="15" thickBot="1" x14ac:dyDescent="0.25">
      <c r="A81" s="34" t="s">
        <v>1</v>
      </c>
      <c r="B81" s="34" t="s">
        <v>44</v>
      </c>
      <c r="C81" s="34" t="s">
        <v>45</v>
      </c>
      <c r="D81" s="58" t="s">
        <v>2</v>
      </c>
      <c r="E81" s="34" t="s">
        <v>3</v>
      </c>
      <c r="F81" s="34" t="s">
        <v>4</v>
      </c>
      <c r="G81" s="39" t="s">
        <v>5</v>
      </c>
      <c r="H81" s="39" t="s">
        <v>6</v>
      </c>
      <c r="I81" s="55" t="s">
        <v>7</v>
      </c>
      <c r="J81" s="54"/>
      <c r="K81" s="54"/>
      <c r="L81" s="54"/>
    </row>
    <row r="82" spans="1:13" x14ac:dyDescent="0.2">
      <c r="A82" s="41">
        <v>9</v>
      </c>
      <c r="B82" s="42" t="s">
        <v>8</v>
      </c>
      <c r="C82" s="42">
        <v>230000</v>
      </c>
      <c r="D82" s="260" t="s">
        <v>20</v>
      </c>
      <c r="E82" s="261"/>
      <c r="F82" s="261"/>
      <c r="G82" s="261"/>
      <c r="H82" s="261"/>
      <c r="I82" s="262"/>
      <c r="J82" s="54">
        <f>G82*E82</f>
        <v>0</v>
      </c>
      <c r="K82" s="54">
        <f>H82*E82</f>
        <v>0</v>
      </c>
      <c r="L82" s="54">
        <f>K82+J82</f>
        <v>0</v>
      </c>
    </row>
    <row r="83" spans="1:13" ht="15" customHeight="1" x14ac:dyDescent="0.2">
      <c r="A83" s="62" t="s">
        <v>291</v>
      </c>
      <c r="B83" s="50" t="s">
        <v>153</v>
      </c>
      <c r="C83" s="50">
        <v>3812</v>
      </c>
      <c r="D83" s="51" t="s">
        <v>161</v>
      </c>
      <c r="E83" s="46">
        <f>'MEMÓRIA DE CÁLCULO'!D157</f>
        <v>56</v>
      </c>
      <c r="F83" s="50" t="s">
        <v>162</v>
      </c>
      <c r="G83" s="264">
        <v>0.1</v>
      </c>
      <c r="H83" s="265"/>
      <c r="I83" s="48">
        <f t="shared" ref="I83:I85" si="8">(H83+G83)*E83</f>
        <v>5.6000000000000005</v>
      </c>
      <c r="J83" s="54"/>
      <c r="K83" s="54"/>
      <c r="L83" s="54"/>
    </row>
    <row r="84" spans="1:13" ht="15" customHeight="1" x14ac:dyDescent="0.2">
      <c r="A84" s="62" t="s">
        <v>292</v>
      </c>
      <c r="B84" s="50" t="s">
        <v>153</v>
      </c>
      <c r="C84" s="50">
        <v>3815</v>
      </c>
      <c r="D84" s="51" t="s">
        <v>163</v>
      </c>
      <c r="E84" s="46">
        <f>'MEMÓRIA DE CÁLCULO'!D160</f>
        <v>28</v>
      </c>
      <c r="F84" s="46" t="s">
        <v>162</v>
      </c>
      <c r="G84" s="264">
        <v>0.1</v>
      </c>
      <c r="H84" s="265"/>
      <c r="I84" s="48">
        <f t="shared" si="8"/>
        <v>2.8000000000000003</v>
      </c>
      <c r="J84" s="54"/>
      <c r="K84" s="54"/>
      <c r="L84" s="54"/>
    </row>
    <row r="85" spans="1:13" ht="26.25" thickBot="1" x14ac:dyDescent="0.25">
      <c r="A85" s="253" t="s">
        <v>293</v>
      </c>
      <c r="B85" s="50" t="s">
        <v>97</v>
      </c>
      <c r="C85" s="50">
        <v>4302</v>
      </c>
      <c r="D85" s="51" t="s">
        <v>164</v>
      </c>
      <c r="E85" s="46">
        <f>'MEMÓRIA DE CÁLCULO'!D163</f>
        <v>28</v>
      </c>
      <c r="F85" s="46" t="s">
        <v>162</v>
      </c>
      <c r="G85" s="266">
        <v>2.6</v>
      </c>
      <c r="H85" s="267"/>
      <c r="I85" s="48">
        <f t="shared" si="8"/>
        <v>72.8</v>
      </c>
      <c r="J85" s="54"/>
      <c r="K85" s="54"/>
      <c r="L85" s="54"/>
    </row>
    <row r="86" spans="1:13" ht="15" thickBot="1" x14ac:dyDescent="0.25">
      <c r="A86" s="272" t="s">
        <v>52</v>
      </c>
      <c r="B86" s="273"/>
      <c r="C86" s="273"/>
      <c r="D86" s="273"/>
      <c r="E86" s="273"/>
      <c r="F86" s="273"/>
      <c r="G86" s="273"/>
      <c r="H86" s="273"/>
      <c r="I86" s="57">
        <f>ROUND(SUM(I83:I85),2)</f>
        <v>81.2</v>
      </c>
      <c r="J86" s="54">
        <f>I86*1.2388</f>
        <v>100.59056</v>
      </c>
      <c r="K86" s="54">
        <f>H86*E86</f>
        <v>0</v>
      </c>
      <c r="L86" s="54">
        <f>K86+J86</f>
        <v>100.59056</v>
      </c>
    </row>
    <row r="87" spans="1:13" ht="15" thickBot="1" x14ac:dyDescent="0.25">
      <c r="A87" s="34" t="s">
        <v>1</v>
      </c>
      <c r="B87" s="34" t="s">
        <v>44</v>
      </c>
      <c r="C87" s="34" t="s">
        <v>45</v>
      </c>
      <c r="D87" s="58" t="s">
        <v>2</v>
      </c>
      <c r="E87" s="34" t="s">
        <v>3</v>
      </c>
      <c r="F87" s="34" t="s">
        <v>4</v>
      </c>
      <c r="G87" s="39" t="s">
        <v>5</v>
      </c>
      <c r="H87" s="39" t="s">
        <v>6</v>
      </c>
      <c r="I87" s="55" t="s">
        <v>7</v>
      </c>
      <c r="J87" s="54"/>
      <c r="K87" s="54"/>
      <c r="L87" s="54"/>
    </row>
    <row r="88" spans="1:13" x14ac:dyDescent="0.2">
      <c r="A88" s="41">
        <v>10</v>
      </c>
      <c r="B88" s="42" t="s">
        <v>8</v>
      </c>
      <c r="C88" s="42">
        <v>250000</v>
      </c>
      <c r="D88" s="260" t="s">
        <v>21</v>
      </c>
      <c r="E88" s="261"/>
      <c r="F88" s="261"/>
      <c r="G88" s="261"/>
      <c r="H88" s="261"/>
      <c r="I88" s="262"/>
      <c r="J88" s="54">
        <f>G88*E88</f>
        <v>0</v>
      </c>
      <c r="K88" s="54">
        <f>H88*E88</f>
        <v>0</v>
      </c>
      <c r="L88" s="54">
        <f>K88+J88</f>
        <v>0</v>
      </c>
    </row>
    <row r="89" spans="1:13" ht="15.75" customHeight="1" thickBot="1" x14ac:dyDescent="0.25">
      <c r="A89" s="253" t="s">
        <v>294</v>
      </c>
      <c r="B89" s="50" t="s">
        <v>8</v>
      </c>
      <c r="C89" s="50">
        <v>250102</v>
      </c>
      <c r="D89" s="51" t="s">
        <v>166</v>
      </c>
      <c r="E89" s="46">
        <f>'MEMÓRIA DE CÁLCULO'!D169</f>
        <v>300</v>
      </c>
      <c r="F89" s="46" t="s">
        <v>165</v>
      </c>
      <c r="G89" s="47">
        <v>0</v>
      </c>
      <c r="H89" s="47">
        <v>33.68</v>
      </c>
      <c r="I89" s="48">
        <f t="shared" ref="I89" si="9">(H89+G89)*E89</f>
        <v>10104</v>
      </c>
      <c r="J89" s="54"/>
      <c r="K89" s="54"/>
      <c r="L89" s="54"/>
    </row>
    <row r="90" spans="1:13" ht="15" thickBot="1" x14ac:dyDescent="0.25">
      <c r="A90" s="272" t="s">
        <v>52</v>
      </c>
      <c r="B90" s="273"/>
      <c r="C90" s="273"/>
      <c r="D90" s="273"/>
      <c r="E90" s="273"/>
      <c r="F90" s="273"/>
      <c r="G90" s="273"/>
      <c r="H90" s="273"/>
      <c r="I90" s="57">
        <f>ROUND(SUM(I89:I89),2)</f>
        <v>10104</v>
      </c>
      <c r="J90" s="54">
        <f>I90*1.2388</f>
        <v>12516.8352</v>
      </c>
      <c r="K90" s="54">
        <f>H90*E90</f>
        <v>0</v>
      </c>
      <c r="L90" s="54">
        <f>K90+J90</f>
        <v>12516.8352</v>
      </c>
      <c r="M90" s="3">
        <f>I90/I111</f>
        <v>5.8766124260690569E-2</v>
      </c>
    </row>
    <row r="91" spans="1:13" ht="15" thickBot="1" x14ac:dyDescent="0.25">
      <c r="A91" s="34" t="s">
        <v>1</v>
      </c>
      <c r="B91" s="34" t="s">
        <v>44</v>
      </c>
      <c r="C91" s="34" t="s">
        <v>45</v>
      </c>
      <c r="D91" s="58" t="s">
        <v>2</v>
      </c>
      <c r="E91" s="34" t="s">
        <v>3</v>
      </c>
      <c r="F91" s="34" t="s">
        <v>4</v>
      </c>
      <c r="G91" s="39" t="s">
        <v>5</v>
      </c>
      <c r="H91" s="39" t="s">
        <v>6</v>
      </c>
      <c r="I91" s="55" t="s">
        <v>7</v>
      </c>
      <c r="J91" s="54"/>
      <c r="K91" s="54"/>
      <c r="L91" s="54"/>
    </row>
    <row r="92" spans="1:13" x14ac:dyDescent="0.2">
      <c r="A92" s="41">
        <v>11</v>
      </c>
      <c r="B92" s="42" t="s">
        <v>8</v>
      </c>
      <c r="C92" s="42">
        <v>260000</v>
      </c>
      <c r="D92" s="260" t="s">
        <v>22</v>
      </c>
      <c r="E92" s="261"/>
      <c r="F92" s="261"/>
      <c r="G92" s="261"/>
      <c r="H92" s="261"/>
      <c r="I92" s="262"/>
      <c r="J92" s="54">
        <f>G92*E92</f>
        <v>0</v>
      </c>
      <c r="K92" s="54">
        <f>H92*E92</f>
        <v>0</v>
      </c>
      <c r="L92" s="54">
        <f>K92+J92</f>
        <v>0</v>
      </c>
    </row>
    <row r="93" spans="1:13" x14ac:dyDescent="0.2">
      <c r="A93" s="62" t="s">
        <v>295</v>
      </c>
      <c r="B93" s="50" t="s">
        <v>8</v>
      </c>
      <c r="C93" s="50">
        <v>260901</v>
      </c>
      <c r="D93" s="51" t="s">
        <v>168</v>
      </c>
      <c r="E93" s="46">
        <f>'MEMÓRIA DE CÁLCULO'!D189</f>
        <v>59.519999999999996</v>
      </c>
      <c r="F93" s="46" t="s">
        <v>28</v>
      </c>
      <c r="G93" s="47">
        <v>7.59</v>
      </c>
      <c r="H93" s="47">
        <v>4.68</v>
      </c>
      <c r="I93" s="48">
        <f t="shared" ref="I93:I95" si="10">(H93+G93)*E93</f>
        <v>730.31039999999996</v>
      </c>
      <c r="J93" s="54"/>
      <c r="K93" s="54"/>
      <c r="L93" s="54"/>
    </row>
    <row r="94" spans="1:13" x14ac:dyDescent="0.2">
      <c r="A94" s="62" t="s">
        <v>296</v>
      </c>
      <c r="B94" s="50" t="s">
        <v>8</v>
      </c>
      <c r="C94" s="50">
        <v>261703</v>
      </c>
      <c r="D94" s="51" t="s">
        <v>169</v>
      </c>
      <c r="E94" s="46">
        <f>'MEMÓRIA DE CÁLCULO'!D195</f>
        <v>1025.06</v>
      </c>
      <c r="F94" s="46" t="s">
        <v>28</v>
      </c>
      <c r="G94" s="47">
        <v>3.99</v>
      </c>
      <c r="H94" s="47">
        <v>6.32</v>
      </c>
      <c r="I94" s="48">
        <f t="shared" si="10"/>
        <v>10568.3686</v>
      </c>
      <c r="J94" s="54"/>
      <c r="K94" s="54"/>
      <c r="L94" s="54"/>
    </row>
    <row r="95" spans="1:13" ht="15" thickBot="1" x14ac:dyDescent="0.25">
      <c r="A95" s="253" t="s">
        <v>297</v>
      </c>
      <c r="B95" s="50" t="s">
        <v>8</v>
      </c>
      <c r="C95" s="50">
        <v>260204</v>
      </c>
      <c r="D95" s="51" t="s">
        <v>247</v>
      </c>
      <c r="E95" s="46">
        <f>'MEMÓRIA DE CÁLCULO'!D206</f>
        <v>92.347499999999997</v>
      </c>
      <c r="F95" s="46" t="s">
        <v>28</v>
      </c>
      <c r="G95" s="47">
        <v>0.89</v>
      </c>
      <c r="H95" s="47">
        <v>2.34</v>
      </c>
      <c r="I95" s="48">
        <f t="shared" si="10"/>
        <v>298.28242499999999</v>
      </c>
      <c r="J95" s="54"/>
      <c r="K95" s="54"/>
      <c r="L95" s="54"/>
    </row>
    <row r="96" spans="1:13" ht="15" thickBot="1" x14ac:dyDescent="0.25">
      <c r="A96" s="272" t="s">
        <v>52</v>
      </c>
      <c r="B96" s="273"/>
      <c r="C96" s="273"/>
      <c r="D96" s="273"/>
      <c r="E96" s="273"/>
      <c r="F96" s="273"/>
      <c r="G96" s="273"/>
      <c r="H96" s="273"/>
      <c r="I96" s="57">
        <f>ROUND(SUM(I93:I95),2)</f>
        <v>11596.96</v>
      </c>
      <c r="J96" s="54">
        <f>I96*1.2388</f>
        <v>14366.314047999998</v>
      </c>
      <c r="K96" s="54">
        <f>H96*E96</f>
        <v>0</v>
      </c>
      <c r="L96" s="54">
        <f>K96+J96</f>
        <v>14366.314047999998</v>
      </c>
    </row>
    <row r="97" spans="1:15" ht="15" thickBot="1" x14ac:dyDescent="0.25">
      <c r="A97" s="34" t="s">
        <v>1</v>
      </c>
      <c r="B97" s="34" t="s">
        <v>44</v>
      </c>
      <c r="C97" s="34" t="s">
        <v>45</v>
      </c>
      <c r="D97" s="58" t="s">
        <v>2</v>
      </c>
      <c r="E97" s="34" t="s">
        <v>3</v>
      </c>
      <c r="F97" s="34" t="s">
        <v>4</v>
      </c>
      <c r="G97" s="39" t="s">
        <v>5</v>
      </c>
      <c r="H97" s="39" t="s">
        <v>6</v>
      </c>
      <c r="I97" s="55" t="s">
        <v>7</v>
      </c>
      <c r="J97" s="54"/>
      <c r="K97" s="54"/>
      <c r="L97" s="54"/>
    </row>
    <row r="98" spans="1:15" x14ac:dyDescent="0.2">
      <c r="A98" s="41">
        <v>12</v>
      </c>
      <c r="B98" s="42" t="s">
        <v>8</v>
      </c>
      <c r="C98" s="42">
        <v>270000</v>
      </c>
      <c r="D98" s="260" t="s">
        <v>23</v>
      </c>
      <c r="E98" s="261"/>
      <c r="F98" s="261"/>
      <c r="G98" s="261"/>
      <c r="H98" s="261"/>
      <c r="I98" s="262"/>
      <c r="J98" s="54">
        <f>G98*E98</f>
        <v>0</v>
      </c>
      <c r="K98" s="54">
        <f>H98*E98</f>
        <v>0</v>
      </c>
      <c r="L98" s="54">
        <f>K98+J98</f>
        <v>0</v>
      </c>
    </row>
    <row r="99" spans="1:15" s="19" customFormat="1" x14ac:dyDescent="0.2">
      <c r="A99" s="59" t="s">
        <v>298</v>
      </c>
      <c r="B99" s="65" t="s">
        <v>8</v>
      </c>
      <c r="C99" s="65">
        <v>270501</v>
      </c>
      <c r="D99" s="63" t="s">
        <v>191</v>
      </c>
      <c r="E99" s="64">
        <f>'MEMÓRIA DE CÁLCULO'!D211</f>
        <v>169.65582281216831</v>
      </c>
      <c r="F99" s="65" t="s">
        <v>28</v>
      </c>
      <c r="G99" s="74">
        <v>1.05</v>
      </c>
      <c r="H99" s="74">
        <v>1.45</v>
      </c>
      <c r="I99" s="77">
        <f>(H99+G99)*E99</f>
        <v>424.13955703042075</v>
      </c>
      <c r="J99" s="17"/>
      <c r="K99" s="17"/>
      <c r="L99" s="17"/>
    </row>
    <row r="100" spans="1:15" s="19" customFormat="1" ht="25.5" x14ac:dyDescent="0.2">
      <c r="A100" s="59" t="s">
        <v>299</v>
      </c>
      <c r="B100" s="65" t="s">
        <v>8</v>
      </c>
      <c r="C100" s="78">
        <v>270210</v>
      </c>
      <c r="D100" s="79" t="s">
        <v>182</v>
      </c>
      <c r="E100" s="80">
        <f>'MEMÓRIA DE CÁLCULO'!D214</f>
        <v>1803.67</v>
      </c>
      <c r="F100" s="80" t="s">
        <v>28</v>
      </c>
      <c r="G100" s="66">
        <v>7.83</v>
      </c>
      <c r="H100" s="66">
        <v>4.82</v>
      </c>
      <c r="I100" s="75">
        <f t="shared" ref="I100:I107" si="11">(H100+G100)*E100</f>
        <v>22816.425500000001</v>
      </c>
      <c r="J100" s="76"/>
      <c r="K100" s="76"/>
      <c r="L100" s="76"/>
    </row>
    <row r="101" spans="1:15" s="19" customFormat="1" x14ac:dyDescent="0.2">
      <c r="A101" s="59" t="s">
        <v>300</v>
      </c>
      <c r="B101" s="65" t="s">
        <v>8</v>
      </c>
      <c r="C101" s="65">
        <v>270810</v>
      </c>
      <c r="D101" s="63" t="s">
        <v>170</v>
      </c>
      <c r="E101" s="251">
        <f>'MEMÓRIA DE CÁLCULO'!D217</f>
        <v>1</v>
      </c>
      <c r="F101" s="64" t="s">
        <v>236</v>
      </c>
      <c r="G101" s="68">
        <v>720.9</v>
      </c>
      <c r="H101" s="68">
        <v>3.99</v>
      </c>
      <c r="I101" s="75">
        <f t="shared" si="11"/>
        <v>724.89</v>
      </c>
      <c r="J101" s="76"/>
      <c r="K101" s="76"/>
      <c r="L101" s="76"/>
    </row>
    <row r="102" spans="1:15" s="19" customFormat="1" x14ac:dyDescent="0.2">
      <c r="A102" s="59" t="s">
        <v>301</v>
      </c>
      <c r="B102" s="65" t="s">
        <v>8</v>
      </c>
      <c r="C102" s="81">
        <v>270811</v>
      </c>
      <c r="D102" s="79" t="s">
        <v>192</v>
      </c>
      <c r="E102" s="80">
        <f>'MEMÓRIA DE CÁLCULO'!D220</f>
        <v>1</v>
      </c>
      <c r="F102" s="81" t="s">
        <v>236</v>
      </c>
      <c r="G102" s="82">
        <v>255.59</v>
      </c>
      <c r="H102" s="82">
        <v>314.18</v>
      </c>
      <c r="I102" s="77">
        <f t="shared" si="11"/>
        <v>569.77</v>
      </c>
      <c r="J102" s="17"/>
      <c r="K102" s="17"/>
      <c r="L102" s="17"/>
    </row>
    <row r="103" spans="1:15" s="19" customFormat="1" ht="25.5" x14ac:dyDescent="0.2">
      <c r="A103" s="59" t="s">
        <v>302</v>
      </c>
      <c r="B103" s="65" t="s">
        <v>8</v>
      </c>
      <c r="C103" s="65">
        <v>71303</v>
      </c>
      <c r="D103" s="63" t="s">
        <v>171</v>
      </c>
      <c r="E103" s="64">
        <f>'MEMÓRIA DE CÁLCULO'!D224</f>
        <v>15</v>
      </c>
      <c r="F103" s="65" t="s">
        <v>172</v>
      </c>
      <c r="G103" s="68">
        <v>180.2</v>
      </c>
      <c r="H103" s="68">
        <v>78.23</v>
      </c>
      <c r="I103" s="75">
        <f t="shared" si="11"/>
        <v>3876.4500000000003</v>
      </c>
      <c r="J103" s="76"/>
      <c r="K103" s="76"/>
      <c r="L103" s="76"/>
    </row>
    <row r="104" spans="1:15" s="19" customFormat="1" x14ac:dyDescent="0.2">
      <c r="A104" s="59" t="s">
        <v>303</v>
      </c>
      <c r="B104" s="65" t="s">
        <v>193</v>
      </c>
      <c r="C104" s="65">
        <v>38528</v>
      </c>
      <c r="D104" s="63" t="s">
        <v>194</v>
      </c>
      <c r="E104" s="64">
        <f>'MEMÓRIA DE CÁLCULO'!D227</f>
        <v>6</v>
      </c>
      <c r="F104" s="83" t="s">
        <v>236</v>
      </c>
      <c r="G104" s="274">
        <v>30.2</v>
      </c>
      <c r="H104" s="275"/>
      <c r="I104" s="77">
        <f t="shared" si="11"/>
        <v>181.2</v>
      </c>
      <c r="J104" s="17"/>
      <c r="K104" s="17"/>
      <c r="L104" s="17"/>
    </row>
    <row r="105" spans="1:15" s="19" customFormat="1" x14ac:dyDescent="0.2">
      <c r="A105" s="59" t="s">
        <v>304</v>
      </c>
      <c r="B105" s="65" t="s">
        <v>193</v>
      </c>
      <c r="C105" s="65">
        <v>38531</v>
      </c>
      <c r="D105" s="63" t="s">
        <v>195</v>
      </c>
      <c r="E105" s="64">
        <f>'MEMÓRIA DE CÁLCULO'!D230</f>
        <v>6</v>
      </c>
      <c r="F105" s="83" t="s">
        <v>236</v>
      </c>
      <c r="G105" s="274">
        <v>16.149999999999999</v>
      </c>
      <c r="H105" s="275"/>
      <c r="I105" s="77">
        <f t="shared" si="11"/>
        <v>96.899999999999991</v>
      </c>
      <c r="J105" s="17"/>
      <c r="K105" s="17"/>
      <c r="L105" s="17"/>
    </row>
    <row r="106" spans="1:15" s="19" customFormat="1" ht="25.5" x14ac:dyDescent="0.2">
      <c r="A106" s="59" t="s">
        <v>305</v>
      </c>
      <c r="B106" s="83" t="s">
        <v>24</v>
      </c>
      <c r="C106" s="65">
        <v>98511</v>
      </c>
      <c r="D106" s="63" t="s">
        <v>245</v>
      </c>
      <c r="E106" s="64">
        <f>'MEMÓRIA DE CÁLCULO'!D232</f>
        <v>10</v>
      </c>
      <c r="F106" s="83" t="s">
        <v>236</v>
      </c>
      <c r="G106" s="274">
        <v>98.35</v>
      </c>
      <c r="H106" s="275"/>
      <c r="I106" s="77">
        <f t="shared" si="11"/>
        <v>983.5</v>
      </c>
      <c r="J106" s="17"/>
      <c r="K106" s="17"/>
      <c r="L106" s="17"/>
    </row>
    <row r="107" spans="1:15" s="19" customFormat="1" x14ac:dyDescent="0.2">
      <c r="A107" s="59" t="s">
        <v>306</v>
      </c>
      <c r="B107" s="83" t="s">
        <v>24</v>
      </c>
      <c r="C107" s="65">
        <v>98509</v>
      </c>
      <c r="D107" s="63" t="s">
        <v>246</v>
      </c>
      <c r="E107" s="64">
        <f>'MEMÓRIA DE CÁLCULO'!D236</f>
        <v>33</v>
      </c>
      <c r="F107" s="83" t="s">
        <v>236</v>
      </c>
      <c r="G107" s="274">
        <v>33.450000000000003</v>
      </c>
      <c r="H107" s="275"/>
      <c r="I107" s="77">
        <f t="shared" si="11"/>
        <v>1103.8500000000001</v>
      </c>
      <c r="J107" s="17"/>
      <c r="K107" s="17"/>
      <c r="L107" s="17"/>
    </row>
    <row r="108" spans="1:15" s="19" customFormat="1" ht="15" thickBot="1" x14ac:dyDescent="0.25">
      <c r="A108" s="252" t="s">
        <v>307</v>
      </c>
      <c r="B108" s="83" t="s">
        <v>210</v>
      </c>
      <c r="C108" s="65">
        <v>44455</v>
      </c>
      <c r="D108" s="63" t="s">
        <v>209</v>
      </c>
      <c r="E108" s="64">
        <f>'MEMÓRIA DE CÁLCULO'!D239</f>
        <v>10</v>
      </c>
      <c r="F108" s="83" t="s">
        <v>127</v>
      </c>
      <c r="G108" s="274">
        <v>46.43</v>
      </c>
      <c r="H108" s="275"/>
      <c r="I108" s="77">
        <f>(G108)*E108</f>
        <v>464.3</v>
      </c>
      <c r="J108" s="17"/>
      <c r="K108" s="17"/>
      <c r="L108" s="17"/>
    </row>
    <row r="109" spans="1:15" ht="15" thickBot="1" x14ac:dyDescent="0.25">
      <c r="A109" s="272" t="s">
        <v>52</v>
      </c>
      <c r="B109" s="273"/>
      <c r="C109" s="273"/>
      <c r="D109" s="273"/>
      <c r="E109" s="273"/>
      <c r="F109" s="273"/>
      <c r="G109" s="273"/>
      <c r="H109" s="273"/>
      <c r="I109" s="57">
        <f>ROUND(SUM(I99:I108),2)</f>
        <v>31241.43</v>
      </c>
      <c r="J109" s="54">
        <f>I109*1.2388-I108*0.2388</f>
        <v>38591.008644000001</v>
      </c>
      <c r="K109" s="54">
        <f>H109*E109</f>
        <v>0</v>
      </c>
      <c r="L109" s="84"/>
      <c r="M109" s="85">
        <f>SUM(I100:I107,I96,I86,I80,I74,I68,I57,I42,I34,I27,I21,I16:I18,)</f>
        <v>159623.1875</v>
      </c>
      <c r="N109" s="52">
        <f>M109*1.2388</f>
        <v>197741.20467499999</v>
      </c>
      <c r="O109" s="52">
        <f>N109+I108</f>
        <v>198205.50467499997</v>
      </c>
    </row>
    <row r="110" spans="1:15" ht="15" thickBot="1" x14ac:dyDescent="0.25">
      <c r="A110" s="228"/>
      <c r="B110" s="352"/>
      <c r="C110" s="352"/>
      <c r="D110" s="353"/>
      <c r="E110" s="352"/>
      <c r="F110" s="354"/>
      <c r="G110" s="355"/>
      <c r="H110" s="355"/>
      <c r="I110" s="356"/>
    </row>
    <row r="111" spans="1:15" ht="15" thickBot="1" x14ac:dyDescent="0.25">
      <c r="A111" s="272" t="s">
        <v>53</v>
      </c>
      <c r="B111" s="273"/>
      <c r="C111" s="273"/>
      <c r="D111" s="273"/>
      <c r="E111" s="273"/>
      <c r="F111" s="273"/>
      <c r="G111" s="273"/>
      <c r="H111" s="273"/>
      <c r="I111" s="57">
        <f>SUM(I22,I27,I34,I42,I57,I68,I80,I86,I90,I96,I109,I74)</f>
        <v>171935.79</v>
      </c>
    </row>
    <row r="112" spans="1:15" ht="15" thickBot="1" x14ac:dyDescent="0.25">
      <c r="A112" s="272" t="s">
        <v>80</v>
      </c>
      <c r="B112" s="273"/>
      <c r="C112" s="273"/>
      <c r="D112" s="273"/>
      <c r="E112" s="273"/>
      <c r="F112" s="273"/>
      <c r="G112" s="273"/>
      <c r="H112" s="273"/>
      <c r="I112" s="57">
        <f>I111*0.2388-I108*0.2388</f>
        <v>40947.391812000009</v>
      </c>
      <c r="J112" s="1">
        <f>J109+J96+J90+J86+J80+J74+J68+J57+J42+J34+J27+J22</f>
        <v>212883.181812</v>
      </c>
    </row>
    <row r="113" spans="1:9" ht="15" thickBot="1" x14ac:dyDescent="0.25">
      <c r="A113" s="272" t="s">
        <v>54</v>
      </c>
      <c r="B113" s="273"/>
      <c r="C113" s="273"/>
      <c r="D113" s="273"/>
      <c r="E113" s="273"/>
      <c r="F113" s="273"/>
      <c r="G113" s="273"/>
      <c r="H113" s="273"/>
      <c r="I113" s="57">
        <f>I112+I111</f>
        <v>212883.18181200002</v>
      </c>
    </row>
    <row r="114" spans="1:9" x14ac:dyDescent="0.2">
      <c r="A114" s="357"/>
      <c r="B114" s="358"/>
      <c r="C114" s="358"/>
      <c r="D114" s="358"/>
      <c r="E114" s="358"/>
      <c r="F114" s="358"/>
      <c r="G114" s="358"/>
      <c r="H114" s="358"/>
      <c r="I114" s="359"/>
    </row>
    <row r="115" spans="1:9" x14ac:dyDescent="0.2">
      <c r="A115" s="360"/>
      <c r="B115" s="361"/>
      <c r="C115" s="361"/>
      <c r="D115" s="361"/>
      <c r="E115" s="361"/>
      <c r="F115" s="361"/>
      <c r="G115" s="361"/>
      <c r="H115" s="361"/>
      <c r="I115" s="362"/>
    </row>
    <row r="116" spans="1:9" x14ac:dyDescent="0.2">
      <c r="A116" s="363"/>
      <c r="B116" s="6"/>
      <c r="C116" s="6"/>
      <c r="D116" s="101"/>
      <c r="E116" s="7"/>
      <c r="F116" s="364"/>
      <c r="G116" s="365"/>
      <c r="H116" s="365"/>
      <c r="I116" s="366"/>
    </row>
    <row r="117" spans="1:9" x14ac:dyDescent="0.2">
      <c r="A117" s="229"/>
      <c r="B117" s="7"/>
      <c r="C117" s="367"/>
      <c r="D117" s="367"/>
      <c r="E117" s="367"/>
      <c r="F117" s="367"/>
      <c r="G117" s="367"/>
      <c r="H117" s="367"/>
      <c r="I117" s="368"/>
    </row>
    <row r="118" spans="1:9" x14ac:dyDescent="0.2">
      <c r="A118" s="229"/>
      <c r="B118" s="7"/>
      <c r="C118" s="367"/>
      <c r="D118" s="367"/>
      <c r="E118" s="367"/>
      <c r="F118" s="367"/>
      <c r="G118" s="367"/>
      <c r="H118" s="367"/>
      <c r="I118" s="368"/>
    </row>
    <row r="119" spans="1:9" x14ac:dyDescent="0.2">
      <c r="A119" s="229"/>
      <c r="B119" s="7"/>
      <c r="C119" s="367"/>
      <c r="D119" s="367"/>
      <c r="E119" s="367"/>
      <c r="F119" s="367"/>
      <c r="G119" s="367"/>
      <c r="H119" s="367"/>
      <c r="I119" s="368"/>
    </row>
    <row r="120" spans="1:9" ht="15" customHeight="1" x14ac:dyDescent="0.2">
      <c r="A120" s="229"/>
      <c r="B120" s="7"/>
      <c r="C120" s="6" t="s">
        <v>277</v>
      </c>
      <c r="D120" s="6"/>
      <c r="E120" s="6"/>
      <c r="F120" s="6"/>
      <c r="G120" s="6"/>
      <c r="H120" s="6"/>
      <c r="I120" s="369"/>
    </row>
    <row r="121" spans="1:9" ht="15" customHeight="1" x14ac:dyDescent="0.2">
      <c r="A121" s="229"/>
      <c r="B121" s="7"/>
      <c r="C121" s="370" t="s">
        <v>278</v>
      </c>
      <c r="D121" s="370"/>
      <c r="E121" s="370"/>
      <c r="F121" s="370"/>
      <c r="G121" s="370"/>
      <c r="H121" s="370"/>
      <c r="I121" s="371"/>
    </row>
    <row r="122" spans="1:9" ht="15" customHeight="1" x14ac:dyDescent="0.2">
      <c r="A122" s="372"/>
      <c r="B122" s="225"/>
      <c r="C122" s="6" t="s">
        <v>279</v>
      </c>
      <c r="D122" s="6"/>
      <c r="E122" s="6"/>
      <c r="F122" s="6"/>
      <c r="G122" s="6"/>
      <c r="H122" s="6"/>
      <c r="I122" s="369"/>
    </row>
    <row r="123" spans="1:9" ht="15.75" customHeight="1" thickBot="1" x14ac:dyDescent="0.25">
      <c r="A123" s="373"/>
      <c r="B123" s="105"/>
      <c r="C123" s="374" t="s">
        <v>280</v>
      </c>
      <c r="D123" s="374"/>
      <c r="E123" s="374"/>
      <c r="F123" s="374"/>
      <c r="G123" s="374"/>
      <c r="H123" s="374"/>
      <c r="I123" s="375"/>
    </row>
    <row r="124" spans="1:9" x14ac:dyDescent="0.2">
      <c r="A124" s="7"/>
      <c r="B124" s="225"/>
      <c r="C124" s="7"/>
      <c r="D124" s="101"/>
      <c r="E124" s="7"/>
      <c r="F124" s="364"/>
      <c r="G124" s="365"/>
      <c r="H124" s="376"/>
      <c r="I124" s="377"/>
    </row>
    <row r="125" spans="1:9" x14ac:dyDescent="0.2">
      <c r="A125" s="7"/>
      <c r="B125" s="225"/>
      <c r="C125" s="7"/>
      <c r="D125" s="101"/>
      <c r="E125" s="7"/>
      <c r="F125" s="364"/>
      <c r="G125" s="365"/>
      <c r="H125" s="376"/>
      <c r="I125" s="377"/>
    </row>
    <row r="126" spans="1:9" x14ac:dyDescent="0.2">
      <c r="A126" s="378" t="s">
        <v>29</v>
      </c>
      <c r="B126" s="225"/>
      <c r="C126" s="225"/>
      <c r="D126" s="101"/>
      <c r="E126" s="7"/>
      <c r="F126" s="379"/>
      <c r="G126" s="376"/>
      <c r="H126" s="376"/>
      <c r="I126" s="377"/>
    </row>
    <row r="127" spans="1:9" x14ac:dyDescent="0.2">
      <c r="A127" s="378"/>
      <c r="B127" s="225"/>
      <c r="C127" s="225"/>
      <c r="D127" s="101"/>
      <c r="E127" s="7"/>
      <c r="F127" s="379"/>
      <c r="G127" s="376"/>
      <c r="H127" s="376"/>
      <c r="I127" s="377"/>
    </row>
    <row r="128" spans="1:9" x14ac:dyDescent="0.2">
      <c r="A128" s="378"/>
      <c r="B128" s="225"/>
      <c r="C128" s="225"/>
      <c r="D128" s="380"/>
      <c r="E128" s="225"/>
      <c r="F128" s="379"/>
      <c r="G128" s="376"/>
      <c r="H128" s="376"/>
      <c r="I128" s="377"/>
    </row>
    <row r="129" spans="1:9" x14ac:dyDescent="0.2">
      <c r="A129" s="7"/>
      <c r="B129" s="225"/>
      <c r="C129" s="7"/>
      <c r="D129" s="101"/>
      <c r="E129" s="7"/>
      <c r="F129" s="364"/>
      <c r="G129" s="365"/>
      <c r="H129" s="376"/>
      <c r="I129" s="377"/>
    </row>
    <row r="130" spans="1:9" x14ac:dyDescent="0.2">
      <c r="A130" s="7"/>
      <c r="B130" s="225"/>
      <c r="C130" s="7"/>
      <c r="D130" s="101"/>
      <c r="E130" s="7"/>
      <c r="F130" s="364"/>
      <c r="G130" s="365"/>
      <c r="H130" s="376"/>
      <c r="I130" s="377"/>
    </row>
    <row r="131" spans="1:9" x14ac:dyDescent="0.2">
      <c r="A131" s="7"/>
      <c r="B131" s="225"/>
      <c r="C131" s="7"/>
      <c r="D131" s="101"/>
      <c r="E131" s="7"/>
      <c r="F131" s="364"/>
      <c r="G131" s="365"/>
      <c r="H131" s="376"/>
      <c r="I131" s="377"/>
    </row>
    <row r="132" spans="1:9" x14ac:dyDescent="0.2">
      <c r="A132" s="378" t="s">
        <v>29</v>
      </c>
      <c r="B132" s="225"/>
      <c r="C132" s="225"/>
      <c r="D132" s="101"/>
      <c r="E132" s="7"/>
      <c r="F132" s="379"/>
      <c r="G132" s="376"/>
      <c r="H132" s="376"/>
      <c r="I132" s="377"/>
    </row>
    <row r="133" spans="1:9" x14ac:dyDescent="0.2">
      <c r="A133" s="7"/>
      <c r="B133" s="7"/>
      <c r="C133" s="7"/>
    </row>
    <row r="134" spans="1:9" x14ac:dyDescent="0.2">
      <c r="A134" s="7"/>
      <c r="B134" s="7"/>
      <c r="C134" s="7"/>
    </row>
    <row r="135" spans="1:9" x14ac:dyDescent="0.2">
      <c r="A135" s="7"/>
      <c r="B135" s="7"/>
      <c r="C135" s="7"/>
    </row>
    <row r="136" spans="1:9" x14ac:dyDescent="0.2">
      <c r="A136" s="7"/>
      <c r="B136" s="7"/>
      <c r="C136" s="7"/>
    </row>
    <row r="137" spans="1:9" x14ac:dyDescent="0.2">
      <c r="A137" s="7"/>
      <c r="B137" s="7"/>
      <c r="C137" s="7"/>
    </row>
    <row r="138" spans="1:9" x14ac:dyDescent="0.2">
      <c r="A138" s="7"/>
      <c r="B138" s="7"/>
      <c r="C138" s="7"/>
    </row>
  </sheetData>
  <sheetProtection algorithmName="SHA-512" hashValue="8OUpinbDo2FFKT3oyXj8bfdDczdbveXaYIN6nhko0Hscznc+DZ3NZz4PEkPFQiOaheV5ekyU+HYHmWsf91cXCw==" saltValue="RUPkunsK1GRIRY/y0z7eNA==" spinCount="100000" sheet="1" selectLockedCells="1"/>
  <mergeCells count="47">
    <mergeCell ref="A22:H22"/>
    <mergeCell ref="D15:I15"/>
    <mergeCell ref="D24:I24"/>
    <mergeCell ref="G21:H21"/>
    <mergeCell ref="C1:I2"/>
    <mergeCell ref="A68:H68"/>
    <mergeCell ref="G33:H33"/>
    <mergeCell ref="D44:I44"/>
    <mergeCell ref="G55:H55"/>
    <mergeCell ref="A57:H57"/>
    <mergeCell ref="A74:H74"/>
    <mergeCell ref="A109:H109"/>
    <mergeCell ref="A115:I115"/>
    <mergeCell ref="A114:I114"/>
    <mergeCell ref="D98:I98"/>
    <mergeCell ref="A27:H27"/>
    <mergeCell ref="D29:I29"/>
    <mergeCell ref="D36:I36"/>
    <mergeCell ref="A34:H34"/>
    <mergeCell ref="A42:H42"/>
    <mergeCell ref="D82:I82"/>
    <mergeCell ref="G108:H108"/>
    <mergeCell ref="G104:H104"/>
    <mergeCell ref="G105:H105"/>
    <mergeCell ref="G106:H106"/>
    <mergeCell ref="G107:H107"/>
    <mergeCell ref="A96:H96"/>
    <mergeCell ref="A90:H90"/>
    <mergeCell ref="A111:H111"/>
    <mergeCell ref="D88:I88"/>
    <mergeCell ref="D92:I92"/>
    <mergeCell ref="D59:I59"/>
    <mergeCell ref="G71:H71"/>
    <mergeCell ref="D70:I70"/>
    <mergeCell ref="C119:I119"/>
    <mergeCell ref="C118:I118"/>
    <mergeCell ref="C117:I117"/>
    <mergeCell ref="D76:I76"/>
    <mergeCell ref="G83:H83"/>
    <mergeCell ref="G84:H84"/>
    <mergeCell ref="G85:H85"/>
    <mergeCell ref="G72:H72"/>
    <mergeCell ref="G73:H73"/>
    <mergeCell ref="A112:H112"/>
    <mergeCell ref="A113:H113"/>
    <mergeCell ref="A80:H80"/>
    <mergeCell ref="A86:H86"/>
  </mergeCells>
  <phoneticPr fontId="4" type="noConversion"/>
  <pageMargins left="0.59055118110236227" right="0.59055118110236227" top="0.78740157480314965" bottom="0.59055118110236227" header="0.31496062992125984" footer="0.31496062992125984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8"/>
  <sheetViews>
    <sheetView showGridLines="0" zoomScale="145" zoomScaleNormal="145" workbookViewId="0">
      <selection sqref="A1:XFD1048576"/>
    </sheetView>
  </sheetViews>
  <sheetFormatPr defaultColWidth="8.85546875" defaultRowHeight="14.25" x14ac:dyDescent="0.2"/>
  <cols>
    <col min="1" max="1" width="11.42578125" style="94" customWidth="1"/>
    <col min="2" max="2" width="76.85546875" style="161" bestFit="1" customWidth="1"/>
    <col min="3" max="3" width="8.28515625" style="162" bestFit="1" customWidth="1"/>
    <col min="4" max="4" width="39.140625" style="163" customWidth="1"/>
    <col min="5" max="5" width="8.85546875" style="67"/>
    <col min="6" max="16384" width="8.85546875" style="3"/>
  </cols>
  <sheetData>
    <row r="1" spans="1:5" ht="15" customHeight="1" x14ac:dyDescent="0.2">
      <c r="A1" s="281" t="s">
        <v>64</v>
      </c>
      <c r="B1" s="282"/>
      <c r="C1" s="283"/>
      <c r="D1" s="97"/>
    </row>
    <row r="2" spans="1:5" x14ac:dyDescent="0.2">
      <c r="A2" s="284"/>
      <c r="B2" s="285"/>
      <c r="C2" s="286"/>
      <c r="D2" s="98"/>
    </row>
    <row r="3" spans="1:5" x14ac:dyDescent="0.2">
      <c r="A3" s="4" t="str">
        <f>ORÇAMENTO!C3</f>
        <v>SETOR</v>
      </c>
      <c r="B3" s="99" t="str">
        <f>ORÇAMENTO!D3</f>
        <v>SECRETARIA MUNICIPAL DE OBRAS</v>
      </c>
      <c r="C3" s="225"/>
      <c r="D3" s="98"/>
    </row>
    <row r="4" spans="1:5" x14ac:dyDescent="0.2">
      <c r="A4" s="4" t="str">
        <f>ORÇAMENTO!C4</f>
        <v>OBJETO</v>
      </c>
      <c r="B4" s="99" t="s">
        <v>81</v>
      </c>
      <c r="C4" s="225"/>
      <c r="D4" s="98"/>
    </row>
    <row r="5" spans="1:5" x14ac:dyDescent="0.2">
      <c r="A5" s="4" t="str">
        <f>ORÇAMENTO!C5</f>
        <v>PROCESSO</v>
      </c>
      <c r="B5" s="100">
        <f>ORÇAMENTO!D5</f>
        <v>2022009671</v>
      </c>
      <c r="C5" s="225"/>
      <c r="D5" s="98"/>
    </row>
    <row r="6" spans="1:5" ht="30" customHeight="1" x14ac:dyDescent="0.2">
      <c r="A6" s="4" t="str">
        <f>ORÇAMENTO!C6</f>
        <v>ENDEREÇO</v>
      </c>
      <c r="B6" s="101" t="str">
        <f>ORÇAMENTO!D6</f>
        <v>ÁREA DE USO PÚBLICO APM-06, RUA C-17, ESQ. C/ RUA C-19 E RUA C-10, RESIDENCIAL CONQUISTA</v>
      </c>
      <c r="C6" s="225"/>
      <c r="D6" s="98"/>
    </row>
    <row r="7" spans="1:5" ht="25.5" x14ac:dyDescent="0.2">
      <c r="A7" s="4" t="str">
        <f>ORÇAMENTO!C7</f>
        <v>TABELAS</v>
      </c>
      <c r="B7" s="102" t="str">
        <f>ORÇAMENTO!D7</f>
        <v>TABELA GOINFRA T161 - CUSTOS DE OBRAS CIVIS - JANEIRO/2022 - DESONERADA - DATA BASE: 01/01/2022</v>
      </c>
      <c r="C7" s="225"/>
      <c r="D7" s="98"/>
    </row>
    <row r="8" spans="1:5" ht="25.5" x14ac:dyDescent="0.2">
      <c r="A8" s="4"/>
      <c r="B8" s="101" t="str">
        <f>ORÇAMENTO!D8</f>
        <v>TABELA SINAPI PCI.818.01 - CUSTO DE COMPOSIÇÕES - SINTÉTITICO - FEVEREIRO/2022 - COM DESONERAÇÃO - DATA BASE: 14/03/2022</v>
      </c>
      <c r="C8" s="225"/>
      <c r="D8" s="103"/>
    </row>
    <row r="9" spans="1:5" ht="25.5" x14ac:dyDescent="0.2">
      <c r="A9" s="4"/>
      <c r="B9" s="101" t="str">
        <f>ORÇAMENTO!D9</f>
        <v>TABELA DE TERRAPLENAGEM, PAVIMENTAÇÃO E OBRAS DE ARTE ESPECIAIS - T163 - JAN/22 - COM DESONERAÇÃO - DATA BASE: 01/01/2022</v>
      </c>
      <c r="C9" s="225"/>
      <c r="D9" s="98"/>
    </row>
    <row r="10" spans="1:5" x14ac:dyDescent="0.2">
      <c r="A10" s="4"/>
      <c r="B10" s="101" t="str">
        <f>ORÇAMENTO!D10</f>
        <v>TABELA SIUB - COM DESONERAÇÃO - DATA BASE: 01/07/2021</v>
      </c>
      <c r="C10" s="225"/>
      <c r="D10" s="98"/>
    </row>
    <row r="11" spans="1:5" ht="15" customHeight="1" thickBot="1" x14ac:dyDescent="0.25">
      <c r="A11" s="220" t="str">
        <f>ORÇAMENTO!C11</f>
        <v xml:space="preserve">DATA </v>
      </c>
      <c r="B11" s="104" t="str">
        <f>ORÇAMENTO!D11</f>
        <v>28 DE MARÇO DE 2022</v>
      </c>
      <c r="C11" s="105"/>
      <c r="D11" s="106"/>
    </row>
    <row r="12" spans="1:5" ht="15" thickBot="1" x14ac:dyDescent="0.25">
      <c r="A12" s="105"/>
      <c r="B12" s="107"/>
      <c r="C12" s="105"/>
      <c r="D12" s="105"/>
    </row>
    <row r="13" spans="1:5" ht="15" thickBot="1" x14ac:dyDescent="0.25">
      <c r="A13" s="108">
        <v>1</v>
      </c>
      <c r="B13" s="109" t="s">
        <v>9</v>
      </c>
      <c r="C13" s="70"/>
      <c r="D13" s="70"/>
      <c r="E13" s="3"/>
    </row>
    <row r="14" spans="1:5" ht="15" thickBot="1" x14ac:dyDescent="0.25">
      <c r="A14" s="110" t="s">
        <v>1</v>
      </c>
      <c r="B14" s="110" t="s">
        <v>56</v>
      </c>
      <c r="C14" s="110" t="s">
        <v>57</v>
      </c>
      <c r="D14" s="110" t="s">
        <v>58</v>
      </c>
      <c r="E14" s="3"/>
    </row>
    <row r="15" spans="1:5" ht="25.5" x14ac:dyDescent="0.2">
      <c r="A15" s="111" t="str">
        <f>ORÇAMENTO!$A$16</f>
        <v>1.1</v>
      </c>
      <c r="B15" s="112" t="str">
        <f>ORÇAMENTO!D16</f>
        <v>PLACA DE OBRA PLOTADA EM CHAPA METÁLICA 26 , AFIXADA EM CAVALETES DE MADEIRA DE LEI (VIGOTAS 6X12CM) - PADRÃO GOINFRA</v>
      </c>
      <c r="C15" s="111" t="str">
        <f>ORÇAMENTO!F16</f>
        <v>m2</v>
      </c>
      <c r="D15" s="111" t="s">
        <v>90</v>
      </c>
      <c r="E15" s="3"/>
    </row>
    <row r="16" spans="1:5" x14ac:dyDescent="0.2">
      <c r="A16" s="50" t="s">
        <v>69</v>
      </c>
      <c r="B16" s="60" t="s">
        <v>213</v>
      </c>
      <c r="C16" s="50" t="s">
        <v>127</v>
      </c>
      <c r="D16" s="46">
        <v>1.5</v>
      </c>
      <c r="E16" s="3"/>
    </row>
    <row r="17" spans="1:5" x14ac:dyDescent="0.2">
      <c r="A17" s="50" t="s">
        <v>70</v>
      </c>
      <c r="B17" s="60" t="s">
        <v>154</v>
      </c>
      <c r="C17" s="50" t="s">
        <v>127</v>
      </c>
      <c r="D17" s="46">
        <v>2</v>
      </c>
      <c r="E17" s="3"/>
    </row>
    <row r="18" spans="1:5" ht="15" thickBot="1" x14ac:dyDescent="0.25">
      <c r="A18" s="293" t="s">
        <v>222</v>
      </c>
      <c r="B18" s="294"/>
      <c r="C18" s="295"/>
      <c r="D18" s="113">
        <f>D17*D16</f>
        <v>3</v>
      </c>
      <c r="E18" s="3"/>
    </row>
    <row r="19" spans="1:5" x14ac:dyDescent="0.2">
      <c r="A19" s="111" t="str">
        <f>ORÇAMENTO!A17</f>
        <v>1.3</v>
      </c>
      <c r="B19" s="114" t="str">
        <f>ORÇAMENTO!D17</f>
        <v>RASPAGEM E LIMPEZA MANUAL DO TERRENO</v>
      </c>
      <c r="C19" s="111" t="str">
        <f>ORÇAMENTO!F17</f>
        <v>m2</v>
      </c>
      <c r="D19" s="111" t="s">
        <v>90</v>
      </c>
      <c r="E19" s="3"/>
    </row>
    <row r="20" spans="1:5" x14ac:dyDescent="0.2">
      <c r="A20" s="50"/>
      <c r="B20" s="60" t="s">
        <v>227</v>
      </c>
      <c r="C20" s="50" t="s">
        <v>28</v>
      </c>
      <c r="D20" s="46">
        <v>2840.12</v>
      </c>
      <c r="E20" s="3"/>
    </row>
    <row r="21" spans="1:5" ht="15" thickBot="1" x14ac:dyDescent="0.25">
      <c r="A21" s="293" t="s">
        <v>78</v>
      </c>
      <c r="B21" s="294"/>
      <c r="C21" s="295"/>
      <c r="D21" s="113">
        <f>D20</f>
        <v>2840.12</v>
      </c>
      <c r="E21" s="3"/>
    </row>
    <row r="22" spans="1:5" ht="25.5" x14ac:dyDescent="0.2">
      <c r="A22" s="111" t="str">
        <f>ORÇAMENTO!A18</f>
        <v>1.4</v>
      </c>
      <c r="B22" s="114" t="str">
        <f>ORÇAMENTO!D18</f>
        <v>LOCAÇÃO DE PRAÇA, QUADRA, IMPLANTAÇÃO UTILIZANDO CAVALETE, INCLUSO PIQUETE COM TESTEMUNHA</v>
      </c>
      <c r="C22" s="115" t="str">
        <f>ORÇAMENTO!F18</f>
        <v xml:space="preserve">m2 </v>
      </c>
      <c r="D22" s="111" t="s">
        <v>90</v>
      </c>
      <c r="E22" s="3"/>
    </row>
    <row r="23" spans="1:5" x14ac:dyDescent="0.2">
      <c r="A23" s="50"/>
      <c r="B23" s="116" t="s">
        <v>91</v>
      </c>
      <c r="C23" s="61" t="s">
        <v>28</v>
      </c>
      <c r="D23" s="117">
        <f>D20</f>
        <v>2840.12</v>
      </c>
      <c r="E23" s="3"/>
    </row>
    <row r="24" spans="1:5" ht="15" thickBot="1" x14ac:dyDescent="0.25">
      <c r="A24" s="293" t="s">
        <v>78</v>
      </c>
      <c r="B24" s="294"/>
      <c r="C24" s="295"/>
      <c r="D24" s="113">
        <f>D23</f>
        <v>2840.12</v>
      </c>
      <c r="E24" s="3"/>
    </row>
    <row r="25" spans="1:5" x14ac:dyDescent="0.2">
      <c r="A25" s="111" t="str">
        <f>ORÇAMENTO!A19</f>
        <v>1.5</v>
      </c>
      <c r="B25" s="114" t="str">
        <f>ORÇAMENTO!D19</f>
        <v xml:space="preserve">CONSUMO DE ÁGUA </v>
      </c>
      <c r="C25" s="115" t="str">
        <f>ORÇAMENTO!F19</f>
        <v xml:space="preserve">m3 </v>
      </c>
      <c r="D25" s="111" t="s">
        <v>93</v>
      </c>
      <c r="E25" s="3"/>
    </row>
    <row r="26" spans="1:5" x14ac:dyDescent="0.2">
      <c r="A26" s="50" t="s">
        <v>69</v>
      </c>
      <c r="B26" s="116" t="s">
        <v>91</v>
      </c>
      <c r="C26" s="61" t="s">
        <v>28</v>
      </c>
      <c r="D26" s="117">
        <f>D24</f>
        <v>2840.12</v>
      </c>
      <c r="E26" s="3"/>
    </row>
    <row r="27" spans="1:5" s="19" customFormat="1" x14ac:dyDescent="0.2">
      <c r="A27" s="65" t="s">
        <v>70</v>
      </c>
      <c r="B27" s="118" t="s">
        <v>92</v>
      </c>
      <c r="C27" s="83" t="s">
        <v>28</v>
      </c>
      <c r="D27" s="119">
        <f>ORÇAMENTO!$O$109/1168.28</f>
        <v>169.65582281216831</v>
      </c>
    </row>
    <row r="28" spans="1:5" x14ac:dyDescent="0.2">
      <c r="A28" s="50" t="s">
        <v>71</v>
      </c>
      <c r="B28" s="120" t="s">
        <v>147</v>
      </c>
      <c r="C28" s="61" t="s">
        <v>148</v>
      </c>
      <c r="D28" s="121">
        <v>0.46279999999999999</v>
      </c>
      <c r="E28" s="3"/>
    </row>
    <row r="29" spans="1:5" ht="15" thickBot="1" x14ac:dyDescent="0.25">
      <c r="A29" s="293" t="s">
        <v>94</v>
      </c>
      <c r="B29" s="294"/>
      <c r="C29" s="295"/>
      <c r="D29" s="113">
        <f>D28*D27</f>
        <v>78.516714797471494</v>
      </c>
      <c r="E29" s="3"/>
    </row>
    <row r="30" spans="1:5" x14ac:dyDescent="0.2">
      <c r="A30" s="111" t="str">
        <f>ORÇAMENTO!A20</f>
        <v>1.6</v>
      </c>
      <c r="B30" s="114" t="str">
        <f>ORÇAMENTO!D20</f>
        <v xml:space="preserve">CONSUMO DE ENERGIA ELÉTRICA </v>
      </c>
      <c r="C30" s="115" t="str">
        <f>ORÇAMENTO!F20</f>
        <v xml:space="preserve">KWH </v>
      </c>
      <c r="D30" s="111" t="s">
        <v>93</v>
      </c>
      <c r="E30" s="3"/>
    </row>
    <row r="31" spans="1:5" x14ac:dyDescent="0.2">
      <c r="A31" s="50" t="s">
        <v>69</v>
      </c>
      <c r="B31" s="116" t="s">
        <v>91</v>
      </c>
      <c r="C31" s="61" t="s">
        <v>28</v>
      </c>
      <c r="D31" s="117">
        <f>D24</f>
        <v>2840.12</v>
      </c>
      <c r="E31" s="3"/>
    </row>
    <row r="32" spans="1:5" s="19" customFormat="1" x14ac:dyDescent="0.2">
      <c r="A32" s="65" t="s">
        <v>70</v>
      </c>
      <c r="B32" s="118" t="s">
        <v>92</v>
      </c>
      <c r="C32" s="83" t="s">
        <v>28</v>
      </c>
      <c r="D32" s="119">
        <f>ORÇAMENTO!$O$109/1168.28</f>
        <v>169.65582281216831</v>
      </c>
    </row>
    <row r="33" spans="1:5" x14ac:dyDescent="0.2">
      <c r="A33" s="50" t="s">
        <v>71</v>
      </c>
      <c r="B33" s="120" t="s">
        <v>147</v>
      </c>
      <c r="C33" s="61" t="s">
        <v>149</v>
      </c>
      <c r="D33" s="121">
        <v>3.2951700000000002</v>
      </c>
      <c r="E33" s="3"/>
    </row>
    <row r="34" spans="1:5" ht="15" thickBot="1" x14ac:dyDescent="0.25">
      <c r="A34" s="293" t="s">
        <v>94</v>
      </c>
      <c r="B34" s="294"/>
      <c r="C34" s="295"/>
      <c r="D34" s="113">
        <f>D33*D32</f>
        <v>559.04477765597267</v>
      </c>
      <c r="E34" s="3"/>
    </row>
    <row r="35" spans="1:5" ht="30" customHeight="1" x14ac:dyDescent="0.2">
      <c r="A35" s="111" t="str">
        <f>ORÇAMENTO!A21</f>
        <v>1.7</v>
      </c>
      <c r="B35" s="114" t="str">
        <f>ORÇAMENTO!D21</f>
        <v>LOCACAO DE CONTAINER 2,30 X 6,00 M, ALT. 2,50 M, COM 1 SANITARIO, PARA ESCRITORIO, COMPLETO, SEM DIVISORIAS INTERNAS</v>
      </c>
      <c r="C35" s="115" t="str">
        <f>ORÇAMENTO!F21</f>
        <v xml:space="preserve">MES </v>
      </c>
      <c r="D35" s="111" t="s">
        <v>26</v>
      </c>
      <c r="E35" s="3"/>
    </row>
    <row r="36" spans="1:5" x14ac:dyDescent="0.2">
      <c r="A36" s="50"/>
      <c r="B36" s="116" t="s">
        <v>26</v>
      </c>
      <c r="C36" s="61" t="s">
        <v>223</v>
      </c>
      <c r="D36" s="117">
        <v>3</v>
      </c>
      <c r="E36" s="3"/>
    </row>
    <row r="37" spans="1:5" ht="15" thickBot="1" x14ac:dyDescent="0.25">
      <c r="A37" s="293" t="s">
        <v>78</v>
      </c>
      <c r="B37" s="294"/>
      <c r="C37" s="295"/>
      <c r="D37" s="113">
        <f>D36</f>
        <v>3</v>
      </c>
      <c r="E37" s="3"/>
    </row>
    <row r="38" spans="1:5" ht="15" thickBot="1" x14ac:dyDescent="0.25">
      <c r="A38" s="108">
        <v>2</v>
      </c>
      <c r="B38" s="109" t="s">
        <v>11</v>
      </c>
      <c r="C38" s="70"/>
      <c r="D38" s="70"/>
      <c r="E38" s="3"/>
    </row>
    <row r="39" spans="1:5" ht="15" thickBot="1" x14ac:dyDescent="0.25">
      <c r="A39" s="110" t="s">
        <v>1</v>
      </c>
      <c r="B39" s="110" t="s">
        <v>56</v>
      </c>
      <c r="C39" s="110" t="s">
        <v>57</v>
      </c>
      <c r="D39" s="110" t="s">
        <v>58</v>
      </c>
      <c r="E39" s="3"/>
    </row>
    <row r="40" spans="1:5" x14ac:dyDescent="0.2">
      <c r="A40" s="122" t="str">
        <f>ORÇAMENTO!A25</f>
        <v>2.1</v>
      </c>
      <c r="B40" s="123" t="str">
        <f>ORÇAMENTO!D25</f>
        <v xml:space="preserve">TRANSPORTE DE ENTULHO EM CAMINHÃO INCLUSO A CARGA MANUAL </v>
      </c>
      <c r="C40" s="124" t="str">
        <f>ORÇAMENTO!F25</f>
        <v>m3</v>
      </c>
      <c r="D40" s="124" t="s">
        <v>100</v>
      </c>
      <c r="E40" s="3"/>
    </row>
    <row r="41" spans="1:5" x14ac:dyDescent="0.2">
      <c r="A41" s="125"/>
      <c r="B41" s="116" t="s">
        <v>101</v>
      </c>
      <c r="C41" s="61" t="s">
        <v>27</v>
      </c>
      <c r="D41" s="117">
        <f>D21*0.03</f>
        <v>85.203599999999994</v>
      </c>
      <c r="E41" s="3"/>
    </row>
    <row r="42" spans="1:5" ht="15" thickBot="1" x14ac:dyDescent="0.25">
      <c r="A42" s="293" t="s">
        <v>78</v>
      </c>
      <c r="B42" s="294"/>
      <c r="C42" s="295"/>
      <c r="D42" s="113">
        <f>D41</f>
        <v>85.203599999999994</v>
      </c>
      <c r="E42" s="3"/>
    </row>
    <row r="43" spans="1:5" x14ac:dyDescent="0.2">
      <c r="A43" s="122" t="str">
        <f>ORÇAMENTO!A26</f>
        <v>2.2</v>
      </c>
      <c r="B43" s="123" t="str">
        <f>ORÇAMENTO!D26</f>
        <v xml:space="preserve">TRANSPORTE DE ENTULHO CAÇAMBA ESTACIONÁRIA SEM CARGA </v>
      </c>
      <c r="C43" s="126" t="str">
        <f>ORÇAMENTO!F26</f>
        <v>m3</v>
      </c>
      <c r="D43" s="124" t="s">
        <v>100</v>
      </c>
      <c r="E43" s="3"/>
    </row>
    <row r="44" spans="1:5" x14ac:dyDescent="0.2">
      <c r="A44" s="125" t="s">
        <v>69</v>
      </c>
      <c r="B44" s="116" t="s">
        <v>91</v>
      </c>
      <c r="C44" s="124" t="s">
        <v>27</v>
      </c>
      <c r="D44" s="117">
        <f>D24</f>
        <v>2840.12</v>
      </c>
      <c r="E44" s="3"/>
    </row>
    <row r="45" spans="1:5" x14ac:dyDescent="0.2">
      <c r="A45" s="50" t="s">
        <v>70</v>
      </c>
      <c r="B45" s="116" t="s">
        <v>102</v>
      </c>
      <c r="C45" s="127" t="s">
        <v>150</v>
      </c>
      <c r="D45" s="128">
        <v>0.01</v>
      </c>
      <c r="E45" s="3"/>
    </row>
    <row r="46" spans="1:5" ht="15" thickBot="1" x14ac:dyDescent="0.25">
      <c r="A46" s="293" t="s">
        <v>103</v>
      </c>
      <c r="B46" s="294"/>
      <c r="C46" s="295"/>
      <c r="D46" s="113">
        <f>D44*D45</f>
        <v>28.401199999999999</v>
      </c>
      <c r="E46" s="3"/>
    </row>
    <row r="47" spans="1:5" ht="15" thickBot="1" x14ac:dyDescent="0.25">
      <c r="A47" s="108">
        <v>3</v>
      </c>
      <c r="B47" s="109" t="s">
        <v>65</v>
      </c>
      <c r="C47" s="70"/>
      <c r="D47" s="70"/>
      <c r="E47" s="3"/>
    </row>
    <row r="48" spans="1:5" ht="15" thickBot="1" x14ac:dyDescent="0.25">
      <c r="A48" s="110" t="s">
        <v>1</v>
      </c>
      <c r="B48" s="110" t="s">
        <v>56</v>
      </c>
      <c r="C48" s="110" t="s">
        <v>57</v>
      </c>
      <c r="D48" s="110" t="s">
        <v>58</v>
      </c>
      <c r="E48" s="3"/>
    </row>
    <row r="49" spans="1:5" s="131" customFormat="1" x14ac:dyDescent="0.2">
      <c r="A49" s="122" t="str">
        <f>ORÇAMENTO!A30</f>
        <v>3.1</v>
      </c>
      <c r="B49" s="123" t="str">
        <f>ORÇAMENTO!D30</f>
        <v xml:space="preserve">APILOAMENTO MECÂNICO </v>
      </c>
      <c r="C49" s="126" t="str">
        <f>ORÇAMENTO!F30</f>
        <v>m2</v>
      </c>
      <c r="D49" s="130" t="s">
        <v>90</v>
      </c>
    </row>
    <row r="50" spans="1:5" s="19" customFormat="1" x14ac:dyDescent="0.2">
      <c r="A50" s="65"/>
      <c r="B50" s="118" t="s">
        <v>224</v>
      </c>
      <c r="C50" s="119" t="s">
        <v>28</v>
      </c>
      <c r="D50" s="119">
        <f>D148</f>
        <v>511.58</v>
      </c>
    </row>
    <row r="51" spans="1:5" ht="15" thickBot="1" x14ac:dyDescent="0.25">
      <c r="A51" s="293" t="s">
        <v>78</v>
      </c>
      <c r="B51" s="294"/>
      <c r="C51" s="295"/>
      <c r="D51" s="113">
        <f>SUM(D50:D50)</f>
        <v>511.58</v>
      </c>
      <c r="E51" s="3"/>
    </row>
    <row r="52" spans="1:5" x14ac:dyDescent="0.2">
      <c r="A52" s="122" t="str">
        <f>ORÇAMENTO!A31</f>
        <v>3.2</v>
      </c>
      <c r="B52" s="123" t="str">
        <f>ORÇAMENTO!D31</f>
        <v xml:space="preserve">CARGA MECANIZADA </v>
      </c>
      <c r="C52" s="126" t="str">
        <f>ORÇAMENTO!F31</f>
        <v>m3</v>
      </c>
      <c r="D52" s="124" t="s">
        <v>178</v>
      </c>
      <c r="E52" s="3"/>
    </row>
    <row r="53" spans="1:5" x14ac:dyDescent="0.2">
      <c r="A53" s="50"/>
      <c r="B53" s="116" t="s">
        <v>225</v>
      </c>
      <c r="C53" s="61" t="s">
        <v>27</v>
      </c>
      <c r="D53" s="117">
        <v>100</v>
      </c>
      <c r="E53" s="3"/>
    </row>
    <row r="54" spans="1:5" x14ac:dyDescent="0.2">
      <c r="A54" s="125"/>
      <c r="B54" s="116" t="s">
        <v>180</v>
      </c>
      <c r="C54" s="61" t="s">
        <v>150</v>
      </c>
      <c r="D54" s="117">
        <v>30</v>
      </c>
      <c r="E54" s="3"/>
    </row>
    <row r="55" spans="1:5" ht="15" thickBot="1" x14ac:dyDescent="0.25">
      <c r="A55" s="293" t="s">
        <v>78</v>
      </c>
      <c r="B55" s="294"/>
      <c r="C55" s="295"/>
      <c r="D55" s="113">
        <f>D53*1.3</f>
        <v>130</v>
      </c>
      <c r="E55" s="3"/>
    </row>
    <row r="56" spans="1:5" ht="25.5" x14ac:dyDescent="0.2">
      <c r="A56" s="122" t="str">
        <f>ORÇAMENTO!A32</f>
        <v>3.3</v>
      </c>
      <c r="B56" s="123" t="str">
        <f>ORÇAMENTO!D32</f>
        <v>REGULARIZAÇÃO DO TERRENO SEM APILOAMENTO COM TRANSPORTE MANUAL DA TERRA ESCAVADA</v>
      </c>
      <c r="C56" s="126" t="str">
        <f>ORÇAMENTO!F32</f>
        <v>m2</v>
      </c>
      <c r="D56" s="124" t="s">
        <v>90</v>
      </c>
      <c r="E56" s="3"/>
    </row>
    <row r="57" spans="1:5" x14ac:dyDescent="0.2">
      <c r="A57" s="50"/>
      <c r="B57" s="116" t="s">
        <v>226</v>
      </c>
      <c r="C57" s="61" t="s">
        <v>10</v>
      </c>
      <c r="D57" s="117">
        <f>D20</f>
        <v>2840.12</v>
      </c>
      <c r="E57" s="3"/>
    </row>
    <row r="58" spans="1:5" ht="15" thickBot="1" x14ac:dyDescent="0.25">
      <c r="A58" s="293" t="s">
        <v>78</v>
      </c>
      <c r="B58" s="294"/>
      <c r="C58" s="295"/>
      <c r="D58" s="113">
        <f>D57</f>
        <v>2840.12</v>
      </c>
      <c r="E58" s="3"/>
    </row>
    <row r="59" spans="1:5" x14ac:dyDescent="0.2">
      <c r="A59" s="122" t="str">
        <f>ORÇAMENTO!A33</f>
        <v>3.4</v>
      </c>
      <c r="B59" s="123" t="str">
        <f>ORÇAMENTO!D33</f>
        <v xml:space="preserve">ARGILA OU BARRO PARA ATERRO/REATERRO (COM TRANSPORTE ATE 10 KM) </v>
      </c>
      <c r="C59" s="126" t="str">
        <f>ORÇAMENTO!F33</f>
        <v>m3</v>
      </c>
      <c r="D59" s="124" t="s">
        <v>178</v>
      </c>
      <c r="E59" s="3"/>
    </row>
    <row r="60" spans="1:5" x14ac:dyDescent="0.2">
      <c r="A60" s="50"/>
      <c r="B60" s="116" t="s">
        <v>225</v>
      </c>
      <c r="C60" s="61" t="s">
        <v>27</v>
      </c>
      <c r="D60" s="117">
        <v>100</v>
      </c>
      <c r="E60" s="3"/>
    </row>
    <row r="61" spans="1:5" x14ac:dyDescent="0.2">
      <c r="A61" s="125"/>
      <c r="B61" s="116" t="s">
        <v>180</v>
      </c>
      <c r="C61" s="61" t="s">
        <v>150</v>
      </c>
      <c r="D61" s="117">
        <v>30</v>
      </c>
      <c r="E61" s="3"/>
    </row>
    <row r="62" spans="1:5" ht="15" thickBot="1" x14ac:dyDescent="0.25">
      <c r="A62" s="293" t="s">
        <v>78</v>
      </c>
      <c r="B62" s="294"/>
      <c r="C62" s="295"/>
      <c r="D62" s="113">
        <f>D60*1.3</f>
        <v>130</v>
      </c>
      <c r="E62" s="3"/>
    </row>
    <row r="63" spans="1:5" ht="15" thickBot="1" x14ac:dyDescent="0.25">
      <c r="A63" s="108">
        <v>4</v>
      </c>
      <c r="B63" s="109" t="s">
        <v>66</v>
      </c>
      <c r="C63" s="70"/>
      <c r="D63" s="70"/>
      <c r="E63" s="3"/>
    </row>
    <row r="64" spans="1:5" ht="15" thickBot="1" x14ac:dyDescent="0.25">
      <c r="A64" s="110" t="s">
        <v>1</v>
      </c>
      <c r="B64" s="110" t="s">
        <v>56</v>
      </c>
      <c r="C64" s="110" t="s">
        <v>57</v>
      </c>
      <c r="D64" s="110" t="s">
        <v>58</v>
      </c>
      <c r="E64" s="3"/>
    </row>
    <row r="65" spans="1:5" s="132" customFormat="1" x14ac:dyDescent="0.2">
      <c r="A65" s="133" t="str">
        <f>ORÇAMENTO!A37</f>
        <v>4.1</v>
      </c>
      <c r="B65" s="134" t="str">
        <f>ORÇAMENTO!D37</f>
        <v xml:space="preserve">ESCAVACAO MANUAL DE VALAS (SAPATAS/BLOCOS) </v>
      </c>
      <c r="C65" s="135" t="str">
        <f>ORÇAMENTO!F37</f>
        <v>m3</v>
      </c>
      <c r="D65" s="136" t="s">
        <v>100</v>
      </c>
    </row>
    <row r="66" spans="1:5" x14ac:dyDescent="0.2">
      <c r="A66" s="50"/>
      <c r="B66" s="298" t="s">
        <v>229</v>
      </c>
      <c r="C66" s="299"/>
      <c r="D66" s="300"/>
      <c r="E66" s="3"/>
    </row>
    <row r="67" spans="1:5" x14ac:dyDescent="0.2">
      <c r="A67" s="50"/>
      <c r="B67" s="116" t="s">
        <v>123</v>
      </c>
      <c r="C67" s="61" t="s">
        <v>31</v>
      </c>
      <c r="D67" s="138">
        <v>2</v>
      </c>
      <c r="E67" s="3"/>
    </row>
    <row r="68" spans="1:5" x14ac:dyDescent="0.2">
      <c r="A68" s="50"/>
      <c r="B68" s="116" t="s">
        <v>122</v>
      </c>
      <c r="C68" s="61" t="s">
        <v>31</v>
      </c>
      <c r="D68" s="137">
        <v>6</v>
      </c>
      <c r="E68" s="3"/>
    </row>
    <row r="69" spans="1:5" x14ac:dyDescent="0.2">
      <c r="A69" s="50"/>
      <c r="B69" s="116" t="s">
        <v>124</v>
      </c>
      <c r="C69" s="61" t="s">
        <v>27</v>
      </c>
      <c r="D69" s="137">
        <f>0.5*0.5*0.5</f>
        <v>0.125</v>
      </c>
      <c r="E69" s="3"/>
    </row>
    <row r="70" spans="1:5" ht="15" thickBot="1" x14ac:dyDescent="0.25">
      <c r="A70" s="293" t="s">
        <v>78</v>
      </c>
      <c r="B70" s="294"/>
      <c r="C70" s="295"/>
      <c r="D70" s="113">
        <f>D67*D68*D69</f>
        <v>1.5</v>
      </c>
      <c r="E70" s="3"/>
    </row>
    <row r="71" spans="1:5" s="132" customFormat="1" x14ac:dyDescent="0.2">
      <c r="A71" s="133" t="str">
        <f>ORÇAMENTO!A38</f>
        <v>4.2</v>
      </c>
      <c r="B71" s="134" t="str">
        <f>ORÇAMENTO!D38</f>
        <v xml:space="preserve">APILOAMENTO (BLOCOS/SAPATAS) </v>
      </c>
      <c r="C71" s="135" t="str">
        <f>ORÇAMENTO!F38</f>
        <v>m2</v>
      </c>
      <c r="D71" s="139"/>
    </row>
    <row r="72" spans="1:5" x14ac:dyDescent="0.2">
      <c r="A72" s="50"/>
      <c r="B72" s="298" t="s">
        <v>229</v>
      </c>
      <c r="C72" s="299"/>
      <c r="D72" s="300"/>
      <c r="E72" s="3"/>
    </row>
    <row r="73" spans="1:5" x14ac:dyDescent="0.2">
      <c r="A73" s="50"/>
      <c r="B73" s="116" t="s">
        <v>123</v>
      </c>
      <c r="C73" s="61" t="s">
        <v>31</v>
      </c>
      <c r="D73" s="138">
        <v>2</v>
      </c>
      <c r="E73" s="3"/>
    </row>
    <row r="74" spans="1:5" x14ac:dyDescent="0.2">
      <c r="A74" s="50"/>
      <c r="B74" s="116" t="s">
        <v>122</v>
      </c>
      <c r="C74" s="61" t="s">
        <v>31</v>
      </c>
      <c r="D74" s="137">
        <v>6</v>
      </c>
      <c r="E74" s="3"/>
    </row>
    <row r="75" spans="1:5" x14ac:dyDescent="0.2">
      <c r="A75" s="50"/>
      <c r="B75" s="116" t="s">
        <v>126</v>
      </c>
      <c r="C75" s="61" t="s">
        <v>10</v>
      </c>
      <c r="D75" s="137">
        <f>0.5*0.5</f>
        <v>0.25</v>
      </c>
      <c r="E75" s="3"/>
    </row>
    <row r="76" spans="1:5" ht="15" thickBot="1" x14ac:dyDescent="0.25">
      <c r="A76" s="293" t="s">
        <v>78</v>
      </c>
      <c r="B76" s="294"/>
      <c r="C76" s="295"/>
      <c r="D76" s="113">
        <f>D74*D75*D73</f>
        <v>3</v>
      </c>
      <c r="E76" s="3"/>
    </row>
    <row r="77" spans="1:5" s="132" customFormat="1" ht="25.5" x14ac:dyDescent="0.2">
      <c r="A77" s="133" t="str">
        <f>ORÇAMENTO!A39</f>
        <v>4.3</v>
      </c>
      <c r="B77" s="134" t="str">
        <f>ORÇAMENTO!D39</f>
        <v xml:space="preserve">PREPARO COM BETONEIRA E TRANSPORTE MANUAL DE CONCRETO FCK=25 MPA </v>
      </c>
      <c r="C77" s="135" t="str">
        <f>ORÇAMENTO!F39</f>
        <v>m3</v>
      </c>
      <c r="D77" s="136" t="s">
        <v>100</v>
      </c>
    </row>
    <row r="78" spans="1:5" x14ac:dyDescent="0.2">
      <c r="A78" s="50"/>
      <c r="B78" s="298" t="s">
        <v>229</v>
      </c>
      <c r="C78" s="299"/>
      <c r="D78" s="300"/>
      <c r="E78" s="3"/>
    </row>
    <row r="79" spans="1:5" x14ac:dyDescent="0.2">
      <c r="A79" s="50"/>
      <c r="B79" s="116" t="s">
        <v>123</v>
      </c>
      <c r="C79" s="61" t="s">
        <v>31</v>
      </c>
      <c r="D79" s="138">
        <v>2</v>
      </c>
      <c r="E79" s="3"/>
    </row>
    <row r="80" spans="1:5" x14ac:dyDescent="0.2">
      <c r="A80" s="50"/>
      <c r="B80" s="116" t="s">
        <v>122</v>
      </c>
      <c r="C80" s="61" t="s">
        <v>31</v>
      </c>
      <c r="D80" s="137">
        <v>6</v>
      </c>
      <c r="E80" s="3"/>
    </row>
    <row r="81" spans="1:5" x14ac:dyDescent="0.2">
      <c r="A81" s="50"/>
      <c r="B81" s="116" t="s">
        <v>124</v>
      </c>
      <c r="C81" s="61" t="s">
        <v>27</v>
      </c>
      <c r="D81" s="137">
        <f>0.5*0.5*0.5</f>
        <v>0.125</v>
      </c>
      <c r="E81" s="3"/>
    </row>
    <row r="82" spans="1:5" ht="15" thickBot="1" x14ac:dyDescent="0.25">
      <c r="A82" s="293" t="s">
        <v>78</v>
      </c>
      <c r="B82" s="294"/>
      <c r="C82" s="295"/>
      <c r="D82" s="113">
        <f>D80*D81*D79</f>
        <v>1.5</v>
      </c>
      <c r="E82" s="3"/>
    </row>
    <row r="83" spans="1:5" s="132" customFormat="1" x14ac:dyDescent="0.2">
      <c r="A83" s="133" t="str">
        <f>ORÇAMENTO!A40</f>
        <v>4.4</v>
      </c>
      <c r="B83" s="134" t="str">
        <f>ORÇAMENTO!D40</f>
        <v xml:space="preserve">LANÇAMENTO/APLICAÇÃO/ADENSAMENTO MANUAL DE CONCRETO - (O.C.) </v>
      </c>
      <c r="C83" s="135" t="str">
        <f>ORÇAMENTO!F40</f>
        <v>m3</v>
      </c>
      <c r="D83" s="136" t="s">
        <v>100</v>
      </c>
    </row>
    <row r="84" spans="1:5" x14ac:dyDescent="0.2">
      <c r="A84" s="50"/>
      <c r="B84" s="298" t="s">
        <v>229</v>
      </c>
      <c r="C84" s="299"/>
      <c r="D84" s="300"/>
      <c r="E84" s="3"/>
    </row>
    <row r="85" spans="1:5" x14ac:dyDescent="0.2">
      <c r="A85" s="50"/>
      <c r="B85" s="116" t="s">
        <v>123</v>
      </c>
      <c r="C85" s="61" t="s">
        <v>31</v>
      </c>
      <c r="D85" s="138">
        <v>2</v>
      </c>
      <c r="E85" s="3"/>
    </row>
    <row r="86" spans="1:5" x14ac:dyDescent="0.2">
      <c r="A86" s="50"/>
      <c r="B86" s="116" t="s">
        <v>122</v>
      </c>
      <c r="C86" s="61" t="s">
        <v>31</v>
      </c>
      <c r="D86" s="137">
        <v>6</v>
      </c>
      <c r="E86" s="3"/>
    </row>
    <row r="87" spans="1:5" x14ac:dyDescent="0.2">
      <c r="A87" s="50"/>
      <c r="B87" s="116" t="s">
        <v>124</v>
      </c>
      <c r="C87" s="61" t="s">
        <v>27</v>
      </c>
      <c r="D87" s="137">
        <f>0.5*0.5*0.5</f>
        <v>0.125</v>
      </c>
      <c r="E87" s="3"/>
    </row>
    <row r="88" spans="1:5" ht="15" thickBot="1" x14ac:dyDescent="0.25">
      <c r="A88" s="293" t="s">
        <v>78</v>
      </c>
      <c r="B88" s="294"/>
      <c r="C88" s="295"/>
      <c r="D88" s="113">
        <f>D85*D86*D87</f>
        <v>1.5</v>
      </c>
      <c r="E88" s="3"/>
    </row>
    <row r="89" spans="1:5" s="132" customFormat="1" x14ac:dyDescent="0.2">
      <c r="A89" s="133" t="str">
        <f>ORÇAMENTO!A41</f>
        <v>4.5</v>
      </c>
      <c r="B89" s="134" t="str">
        <f>ORÇAMENTO!D41</f>
        <v xml:space="preserve">ACO CA 50-A - 8,0 MM (5/16") - (OBRAS CIVIS) </v>
      </c>
      <c r="C89" s="135" t="str">
        <f>ORÇAMENTO!F41</f>
        <v>Kg</v>
      </c>
      <c r="D89" s="136" t="s">
        <v>128</v>
      </c>
    </row>
    <row r="90" spans="1:5" x14ac:dyDescent="0.2">
      <c r="A90" s="129" t="s">
        <v>69</v>
      </c>
      <c r="B90" s="298" t="s">
        <v>229</v>
      </c>
      <c r="C90" s="299"/>
      <c r="D90" s="300"/>
      <c r="E90" s="3"/>
    </row>
    <row r="91" spans="1:5" x14ac:dyDescent="0.2">
      <c r="A91" s="129"/>
      <c r="B91" s="116" t="s">
        <v>123</v>
      </c>
      <c r="C91" s="61" t="s">
        <v>31</v>
      </c>
      <c r="D91" s="137">
        <v>2</v>
      </c>
      <c r="E91" s="3"/>
    </row>
    <row r="92" spans="1:5" x14ac:dyDescent="0.2">
      <c r="A92" s="129"/>
      <c r="B92" s="116" t="s">
        <v>122</v>
      </c>
      <c r="C92" s="61" t="s">
        <v>31</v>
      </c>
      <c r="D92" s="137">
        <v>6</v>
      </c>
      <c r="E92" s="3"/>
    </row>
    <row r="93" spans="1:5" x14ac:dyDescent="0.2">
      <c r="A93" s="140"/>
      <c r="B93" s="116" t="s">
        <v>230</v>
      </c>
      <c r="C93" s="61" t="s">
        <v>127</v>
      </c>
      <c r="D93" s="141">
        <v>13.32</v>
      </c>
      <c r="E93" s="3"/>
    </row>
    <row r="94" spans="1:5" x14ac:dyDescent="0.2">
      <c r="A94" s="296" t="s">
        <v>125</v>
      </c>
      <c r="B94" s="297"/>
      <c r="C94" s="297"/>
      <c r="D94" s="138">
        <f>D93*D92*D91</f>
        <v>159.84</v>
      </c>
      <c r="E94" s="3"/>
    </row>
    <row r="95" spans="1:5" x14ac:dyDescent="0.2">
      <c r="A95" s="140" t="s">
        <v>70</v>
      </c>
      <c r="B95" s="116" t="s">
        <v>129</v>
      </c>
      <c r="C95" s="61" t="s">
        <v>130</v>
      </c>
      <c r="D95" s="142">
        <v>0.39500000000000002</v>
      </c>
      <c r="E95" s="3"/>
    </row>
    <row r="96" spans="1:5" ht="15" thickBot="1" x14ac:dyDescent="0.25">
      <c r="A96" s="293" t="s">
        <v>222</v>
      </c>
      <c r="B96" s="294"/>
      <c r="C96" s="295"/>
      <c r="D96" s="113">
        <f>D94*D95</f>
        <v>63.136800000000001</v>
      </c>
      <c r="E96" s="3"/>
    </row>
    <row r="97" spans="1:5" ht="15" thickBot="1" x14ac:dyDescent="0.25">
      <c r="A97" s="108">
        <v>6</v>
      </c>
      <c r="B97" s="144" t="s">
        <v>67</v>
      </c>
      <c r="C97" s="70"/>
      <c r="D97" s="70"/>
      <c r="E97" s="3"/>
    </row>
    <row r="98" spans="1:5" ht="15" thickBot="1" x14ac:dyDescent="0.25">
      <c r="A98" s="110" t="s">
        <v>1</v>
      </c>
      <c r="B98" s="110" t="s">
        <v>56</v>
      </c>
      <c r="C98" s="110" t="s">
        <v>57</v>
      </c>
      <c r="D98" s="110" t="s">
        <v>58</v>
      </c>
      <c r="E98" s="3"/>
    </row>
    <row r="99" spans="1:5" x14ac:dyDescent="0.2">
      <c r="A99" s="50" t="str">
        <f>ORÇAMENTO!A45</f>
        <v>5.1</v>
      </c>
      <c r="B99" s="116" t="str">
        <f>ORÇAMENTO!D45</f>
        <v xml:space="preserve">CABO EPR/XLPE (90°C) 1KV - 10MM2 </v>
      </c>
      <c r="C99" s="46" t="str">
        <f>ORÇAMENTO!F45</f>
        <v>m</v>
      </c>
      <c r="D99" s="141">
        <v>25.96</v>
      </c>
      <c r="E99" s="3"/>
    </row>
    <row r="100" spans="1:5" x14ac:dyDescent="0.2">
      <c r="A100" s="50" t="str">
        <f>ORÇAMENTO!A46</f>
        <v>5.2</v>
      </c>
      <c r="B100" s="116" t="str">
        <f>ORÇAMENTO!D46</f>
        <v>CABO PVC (70ºC) 1 KV No. 4 MM2</v>
      </c>
      <c r="C100" s="46" t="str">
        <f>ORÇAMENTO!F46</f>
        <v>m</v>
      </c>
      <c r="D100" s="129">
        <v>202.9</v>
      </c>
      <c r="E100" s="3"/>
    </row>
    <row r="101" spans="1:5" x14ac:dyDescent="0.2">
      <c r="A101" s="50" t="str">
        <f>ORÇAMENTO!A47</f>
        <v>5.3</v>
      </c>
      <c r="B101" s="116" t="str">
        <f>ORÇAMENTO!D47</f>
        <v>CABO PVC (70ºC) 1 KV No. 6 MM2</v>
      </c>
      <c r="C101" s="46" t="str">
        <f>ORÇAMENTO!F47</f>
        <v>m</v>
      </c>
      <c r="D101" s="141">
        <v>195.38</v>
      </c>
      <c r="E101" s="3"/>
    </row>
    <row r="102" spans="1:5" x14ac:dyDescent="0.2">
      <c r="A102" s="50" t="str">
        <f>ORÇAMENTO!A48</f>
        <v>5.4</v>
      </c>
      <c r="B102" s="116" t="str">
        <f>ORÇAMENTO!D48</f>
        <v xml:space="preserve">CAIXA DE PASSAGEM - TAMPA EM CONCRETO ARMADO 25 MPA E=5CM </v>
      </c>
      <c r="C102" s="46" t="str">
        <f>ORÇAMENTO!F48</f>
        <v>m2</v>
      </c>
      <c r="D102" s="129">
        <f>(0.2*0.2)*6</f>
        <v>0.24000000000000005</v>
      </c>
      <c r="E102" s="3"/>
    </row>
    <row r="103" spans="1:5" x14ac:dyDescent="0.2">
      <c r="A103" s="50" t="str">
        <f>ORÇAMENTO!A49</f>
        <v>5.5</v>
      </c>
      <c r="B103" s="116" t="str">
        <f>ORÇAMENTO!D49</f>
        <v xml:space="preserve">CAIXA DE PASSAGEM 20X20X25CM FUNDO BRITA SEM TAMPA </v>
      </c>
      <c r="C103" s="46" t="str">
        <f>ORÇAMENTO!F49</f>
        <v>Un</v>
      </c>
      <c r="D103" s="141">
        <v>6</v>
      </c>
      <c r="E103" s="3"/>
    </row>
    <row r="104" spans="1:5" ht="25.5" x14ac:dyDescent="0.2">
      <c r="A104" s="50" t="str">
        <f>ORÇAMENTO!A50</f>
        <v>5.6</v>
      </c>
      <c r="B104" s="116" t="str">
        <f>ORÇAMENTO!D50</f>
        <v xml:space="preserve">ELETRODUTO PVC FLEXÍVEL - MANGUEIRA CORRUGADA REFORÇADA - DIAM. 40MM </v>
      </c>
      <c r="C104" s="46" t="str">
        <f>ORÇAMENTO!F50</f>
        <v>m</v>
      </c>
      <c r="D104" s="129">
        <v>116.6</v>
      </c>
      <c r="E104" s="3"/>
    </row>
    <row r="105" spans="1:5" x14ac:dyDescent="0.2">
      <c r="A105" s="50" t="str">
        <f>ORÇAMENTO!A51</f>
        <v>5.7</v>
      </c>
      <c r="B105" s="116" t="str">
        <f>ORÇAMENTO!D51</f>
        <v xml:space="preserve">HASTE REV.COBRE(COPPERWELD) 5/8" X 3,00 M C/CONECTOR </v>
      </c>
      <c r="C105" s="46" t="str">
        <f>ORÇAMENTO!F51</f>
        <v>Un</v>
      </c>
      <c r="D105" s="129">
        <v>1</v>
      </c>
      <c r="E105" s="3"/>
    </row>
    <row r="106" spans="1:5" x14ac:dyDescent="0.2">
      <c r="A106" s="50" t="str">
        <f>ORÇAMENTO!A52</f>
        <v>5.8</v>
      </c>
      <c r="B106" s="116" t="str">
        <f>ORÇAMENTO!D52</f>
        <v>PADRÃO TRIFASICO 25 MM H=7 METROS</v>
      </c>
      <c r="C106" s="46" t="str">
        <f>ORÇAMENTO!F52</f>
        <v>Un</v>
      </c>
      <c r="D106" s="141">
        <v>1</v>
      </c>
      <c r="E106" s="3"/>
    </row>
    <row r="107" spans="1:5" ht="25.5" customHeight="1" x14ac:dyDescent="0.2">
      <c r="A107" s="50" t="str">
        <f>ORÇAMENTO!A53</f>
        <v>5.9</v>
      </c>
      <c r="B107" s="116" t="str">
        <f>ORÇAMENTO!D53</f>
        <v>POSTE SIMPLES CÔNICO CONTÍNUO, CIRCULAR, RETO, COM DIÂMETRO NOMINAL DE 60MM NA EXTREMIDADE, GALVANIZADO A FOGO, Hútil= 7 M - ENGASTADO EM CONCRETO COM FCK = 13,5 MPA</v>
      </c>
      <c r="C107" s="46" t="str">
        <f>ORÇAMENTO!F53</f>
        <v>Un</v>
      </c>
      <c r="D107" s="129">
        <v>6</v>
      </c>
      <c r="E107" s="3"/>
    </row>
    <row r="108" spans="1:5" x14ac:dyDescent="0.2">
      <c r="A108" s="50" t="str">
        <f>ORÇAMENTO!A54</f>
        <v>5.10</v>
      </c>
      <c r="B108" s="116" t="str">
        <f>ORÇAMENTO!D54</f>
        <v xml:space="preserve">RELE FOTO ELETRICO COM BASE </v>
      </c>
      <c r="C108" s="46" t="str">
        <f>ORÇAMENTO!F54</f>
        <v>Un</v>
      </c>
      <c r="D108" s="141">
        <v>6</v>
      </c>
      <c r="E108" s="3"/>
    </row>
    <row r="109" spans="1:5" ht="25.5" x14ac:dyDescent="0.2">
      <c r="A109" s="50" t="str">
        <f>ORÇAMENTO!A55</f>
        <v>5.11</v>
      </c>
      <c r="B109" s="116" t="str">
        <f>ORÇAMENTO!D55</f>
        <v>LUMINÁRIA DE LED PARA ILUMINAÇÃO PÚBLICA, DE 98 W ATÉ 137 W - FORNECIMENTO E INSTALAÇÃO. AF_08/2020</v>
      </c>
      <c r="C109" s="46" t="str">
        <f>ORÇAMENTO!F55</f>
        <v>Un</v>
      </c>
      <c r="D109" s="141">
        <v>24</v>
      </c>
      <c r="E109" s="3"/>
    </row>
    <row r="110" spans="1:5" ht="15" thickBot="1" x14ac:dyDescent="0.25">
      <c r="A110" s="50" t="str">
        <f>ORÇAMENTO!A56</f>
        <v>5.12</v>
      </c>
      <c r="B110" s="116" t="str">
        <f>ORÇAMENTO!D56</f>
        <v xml:space="preserve">SUPORTE PARA 4 PÉTALAS PARA LUMINÁRIA DE ILUMINAÇÃO PÚBLICA </v>
      </c>
      <c r="C110" s="46" t="str">
        <f>ORÇAMENTO!F56</f>
        <v>Un</v>
      </c>
      <c r="D110" s="141">
        <v>6</v>
      </c>
      <c r="E110" s="3"/>
    </row>
    <row r="111" spans="1:5" ht="15" thickBot="1" x14ac:dyDescent="0.25">
      <c r="A111" s="108">
        <v>7</v>
      </c>
      <c r="B111" s="71" t="s">
        <v>68</v>
      </c>
      <c r="C111" s="70"/>
      <c r="D111" s="70"/>
      <c r="E111" s="3"/>
    </row>
    <row r="112" spans="1:5" ht="15" thickBot="1" x14ac:dyDescent="0.25">
      <c r="A112" s="110" t="s">
        <v>1</v>
      </c>
      <c r="B112" s="110" t="s">
        <v>56</v>
      </c>
      <c r="C112" s="110" t="s">
        <v>57</v>
      </c>
      <c r="D112" s="110" t="s">
        <v>58</v>
      </c>
      <c r="E112" s="3"/>
    </row>
    <row r="113" spans="1:5" s="148" customFormat="1" x14ac:dyDescent="0.2">
      <c r="A113" s="145" t="str">
        <f>ORÇAMENTO!A60</f>
        <v>6.1</v>
      </c>
      <c r="B113" s="146" t="str">
        <f>ORÇAMENTO!D60</f>
        <v xml:space="preserve">TORNEIRA DE JARDIM COM BICO PARA MANGUEIRA DIÂMETRO DE 1/2" E 3/4" </v>
      </c>
      <c r="C113" s="147" t="str">
        <f>ORÇAMENTO!F60</f>
        <v>Un</v>
      </c>
      <c r="D113" s="147">
        <v>2</v>
      </c>
    </row>
    <row r="114" spans="1:5" s="148" customFormat="1" x14ac:dyDescent="0.2">
      <c r="A114" s="145" t="str">
        <f>ORÇAMENTO!A61</f>
        <v>6.2</v>
      </c>
      <c r="B114" s="146" t="str">
        <f>ORÇAMENTO!D61</f>
        <v xml:space="preserve">TUBO SOLDAVEL PVC MARROM DIAMETRO 25 mm </v>
      </c>
      <c r="C114" s="147" t="str">
        <f>ORÇAMENTO!F61</f>
        <v>m</v>
      </c>
      <c r="D114" s="147">
        <v>53.13</v>
      </c>
    </row>
    <row r="115" spans="1:5" s="148" customFormat="1" x14ac:dyDescent="0.2">
      <c r="A115" s="145" t="str">
        <f>ORÇAMENTO!A62</f>
        <v>6.3</v>
      </c>
      <c r="B115" s="146" t="str">
        <f>ORÇAMENTO!D62</f>
        <v xml:space="preserve">JOELHO 90 GRAUS SOLDAVEL DIAMETRO 25 MM </v>
      </c>
      <c r="C115" s="147" t="str">
        <f>ORÇAMENTO!F62</f>
        <v>Un</v>
      </c>
      <c r="D115" s="147">
        <v>6</v>
      </c>
    </row>
    <row r="116" spans="1:5" s="148" customFormat="1" x14ac:dyDescent="0.2">
      <c r="A116" s="145" t="str">
        <f>ORÇAMENTO!A63</f>
        <v>6.4</v>
      </c>
      <c r="B116" s="146" t="str">
        <f>ORÇAMENTO!D63</f>
        <v>JOELHO 90 GRAUS SOLD. C/BUCHA LATAO 25 X 3/4"</v>
      </c>
      <c r="C116" s="147" t="str">
        <f>ORÇAMENTO!F63</f>
        <v>Un</v>
      </c>
      <c r="D116" s="147">
        <v>2</v>
      </c>
    </row>
    <row r="117" spans="1:5" s="148" customFormat="1" x14ac:dyDescent="0.2">
      <c r="A117" s="145" t="str">
        <f>ORÇAMENTO!A64</f>
        <v>6.5</v>
      </c>
      <c r="B117" s="146" t="str">
        <f>ORÇAMENTO!D64</f>
        <v xml:space="preserve">TE 90 GRAUS SOLDAVEL DIAMETRO 25 mm </v>
      </c>
      <c r="C117" s="147" t="str">
        <f>ORÇAMENTO!F64</f>
        <v>Un</v>
      </c>
      <c r="D117" s="147">
        <v>1</v>
      </c>
    </row>
    <row r="118" spans="1:5" s="148" customFormat="1" x14ac:dyDescent="0.2">
      <c r="A118" s="145" t="str">
        <f>ORÇAMENTO!A65</f>
        <v>6.6</v>
      </c>
      <c r="B118" s="146" t="str">
        <f>ORÇAMENTO!D65</f>
        <v xml:space="preserve">UNIAO SOLDAVEL DIAMETRO 25 mm </v>
      </c>
      <c r="C118" s="147" t="str">
        <f>ORÇAMENTO!F65</f>
        <v>Un</v>
      </c>
      <c r="D118" s="147">
        <v>8</v>
      </c>
    </row>
    <row r="119" spans="1:5" s="148" customFormat="1" x14ac:dyDescent="0.2">
      <c r="A119" s="145" t="str">
        <f>ORÇAMENTO!A66</f>
        <v>6.7</v>
      </c>
      <c r="B119" s="146" t="str">
        <f>ORÇAMENTO!D66</f>
        <v xml:space="preserve">HIDROMETRO DIAM.RAMAL = 25 MM VAZAO =1,5 A 3 M3 </v>
      </c>
      <c r="C119" s="147" t="str">
        <f>ORÇAMENTO!F66</f>
        <v>Un</v>
      </c>
      <c r="D119" s="147">
        <v>1</v>
      </c>
    </row>
    <row r="120" spans="1:5" s="148" customFormat="1" ht="15" thickBot="1" x14ac:dyDescent="0.25">
      <c r="A120" s="145" t="str">
        <f>ORÇAMENTO!A67</f>
        <v>6.8</v>
      </c>
      <c r="B120" s="146" t="str">
        <f>ORÇAMENTO!D67</f>
        <v>KIT CAVALETE D=25MM P/HIDRÔMETRO 1,5-3,0-5,0 M3/MURETA/CAIXA</v>
      </c>
      <c r="C120" s="147" t="str">
        <f>ORÇAMENTO!F67</f>
        <v>Un</v>
      </c>
      <c r="D120" s="147">
        <v>1</v>
      </c>
    </row>
    <row r="121" spans="1:5" ht="15" thickBot="1" x14ac:dyDescent="0.25">
      <c r="A121" s="108">
        <v>11</v>
      </c>
      <c r="B121" s="109" t="s">
        <v>72</v>
      </c>
      <c r="C121" s="70"/>
      <c r="D121" s="70"/>
      <c r="E121" s="3"/>
    </row>
    <row r="122" spans="1:5" ht="15" thickBot="1" x14ac:dyDescent="0.25">
      <c r="A122" s="110" t="s">
        <v>1</v>
      </c>
      <c r="B122" s="110" t="s">
        <v>56</v>
      </c>
      <c r="C122" s="110" t="s">
        <v>57</v>
      </c>
      <c r="D122" s="110" t="s">
        <v>58</v>
      </c>
      <c r="E122" s="3"/>
    </row>
    <row r="123" spans="1:5" x14ac:dyDescent="0.2">
      <c r="A123" s="122" t="str">
        <f>ORÇAMENTO!A71</f>
        <v>7.1</v>
      </c>
      <c r="B123" s="123" t="str">
        <f>ORÇAMENTO!D71</f>
        <v>VIGOTA DE MADEIRA 6x12</v>
      </c>
      <c r="C123" s="143" t="str">
        <f>ORÇAMENTO!F71</f>
        <v xml:space="preserve"> m </v>
      </c>
      <c r="D123" s="149" t="s">
        <v>154</v>
      </c>
      <c r="E123" s="3"/>
    </row>
    <row r="124" spans="1:5" x14ac:dyDescent="0.2">
      <c r="A124" s="140"/>
      <c r="B124" s="116" t="s">
        <v>229</v>
      </c>
      <c r="C124" s="61"/>
      <c r="D124" s="137"/>
      <c r="E124" s="3"/>
    </row>
    <row r="125" spans="1:5" x14ac:dyDescent="0.2">
      <c r="A125" s="140"/>
      <c r="B125" s="116" t="s">
        <v>123</v>
      </c>
      <c r="C125" s="61" t="s">
        <v>31</v>
      </c>
      <c r="D125" s="137">
        <v>2</v>
      </c>
      <c r="E125" s="3"/>
    </row>
    <row r="126" spans="1:5" x14ac:dyDescent="0.2">
      <c r="A126" s="140"/>
      <c r="B126" s="116" t="s">
        <v>234</v>
      </c>
      <c r="C126" s="61" t="s">
        <v>127</v>
      </c>
      <c r="D126" s="141">
        <v>3</v>
      </c>
      <c r="E126" s="3"/>
    </row>
    <row r="127" spans="1:5" x14ac:dyDescent="0.2">
      <c r="A127" s="140"/>
      <c r="B127" s="116" t="s">
        <v>235</v>
      </c>
      <c r="C127" s="61" t="s">
        <v>31</v>
      </c>
      <c r="D127" s="141">
        <v>14</v>
      </c>
      <c r="E127" s="3"/>
    </row>
    <row r="128" spans="1:5" ht="15" thickBot="1" x14ac:dyDescent="0.25">
      <c r="A128" s="293" t="s">
        <v>78</v>
      </c>
      <c r="B128" s="294"/>
      <c r="C128" s="295"/>
      <c r="D128" s="113">
        <f>D126*D127*D125</f>
        <v>84</v>
      </c>
      <c r="E128" s="3"/>
    </row>
    <row r="129" spans="1:5" x14ac:dyDescent="0.2">
      <c r="A129" s="122" t="str">
        <f>ORÇAMENTO!A72</f>
        <v>7.2</v>
      </c>
      <c r="B129" s="123" t="str">
        <f>ORÇAMENTO!D72</f>
        <v>VIGOTA DE MADEIRA 6x16</v>
      </c>
      <c r="C129" s="143" t="str">
        <f>ORÇAMENTO!F72</f>
        <v xml:space="preserve"> m </v>
      </c>
      <c r="D129" s="149" t="s">
        <v>154</v>
      </c>
      <c r="E129" s="3"/>
    </row>
    <row r="130" spans="1:5" x14ac:dyDescent="0.2">
      <c r="A130" s="140"/>
      <c r="B130" s="116" t="s">
        <v>229</v>
      </c>
      <c r="C130" s="61"/>
      <c r="D130" s="137"/>
      <c r="E130" s="3"/>
    </row>
    <row r="131" spans="1:5" x14ac:dyDescent="0.2">
      <c r="A131" s="140"/>
      <c r="B131" s="116" t="s">
        <v>123</v>
      </c>
      <c r="C131" s="61" t="s">
        <v>31</v>
      </c>
      <c r="D131" s="137">
        <v>2</v>
      </c>
      <c r="E131" s="3"/>
    </row>
    <row r="132" spans="1:5" x14ac:dyDescent="0.2">
      <c r="A132" s="140"/>
      <c r="B132" s="116" t="s">
        <v>234</v>
      </c>
      <c r="C132" s="61" t="s">
        <v>127</v>
      </c>
      <c r="D132" s="141">
        <v>6</v>
      </c>
      <c r="E132" s="3"/>
    </row>
    <row r="133" spans="1:5" x14ac:dyDescent="0.2">
      <c r="A133" s="140"/>
      <c r="B133" s="116" t="s">
        <v>235</v>
      </c>
      <c r="C133" s="61" t="s">
        <v>31</v>
      </c>
      <c r="D133" s="141">
        <v>2</v>
      </c>
      <c r="E133" s="3"/>
    </row>
    <row r="134" spans="1:5" ht="15" thickBot="1" x14ac:dyDescent="0.25">
      <c r="A134" s="293" t="s">
        <v>78</v>
      </c>
      <c r="B134" s="294"/>
      <c r="C134" s="295"/>
      <c r="D134" s="113">
        <f>D132*D133*D131</f>
        <v>24</v>
      </c>
      <c r="E134" s="3"/>
    </row>
    <row r="135" spans="1:5" ht="25.5" x14ac:dyDescent="0.2">
      <c r="A135" s="122" t="str">
        <f>ORÇAMENTO!A73</f>
        <v>7.3</v>
      </c>
      <c r="B135" s="123" t="str">
        <f>ORÇAMENTO!D73</f>
        <v>PILAR QUADRADO NAO APARELHADO *15 X 15* CM, EM MACARANDUBA, ANGELIM OU EQUIVALENTE DA REGIAO - BRUTA</v>
      </c>
      <c r="C135" s="143" t="str">
        <f>ORÇAMENTO!F73</f>
        <v xml:space="preserve">M </v>
      </c>
      <c r="D135" s="149" t="s">
        <v>154</v>
      </c>
      <c r="E135" s="3"/>
    </row>
    <row r="136" spans="1:5" x14ac:dyDescent="0.2">
      <c r="A136" s="140"/>
      <c r="B136" s="116" t="s">
        <v>229</v>
      </c>
      <c r="C136" s="61"/>
      <c r="D136" s="137"/>
      <c r="E136" s="3"/>
    </row>
    <row r="137" spans="1:5" x14ac:dyDescent="0.2">
      <c r="A137" s="140"/>
      <c r="B137" s="116" t="s">
        <v>123</v>
      </c>
      <c r="C137" s="61" t="s">
        <v>31</v>
      </c>
      <c r="D137" s="137">
        <v>2</v>
      </c>
      <c r="E137" s="3"/>
    </row>
    <row r="138" spans="1:5" x14ac:dyDescent="0.2">
      <c r="A138" s="140"/>
      <c r="B138" s="116" t="s">
        <v>156</v>
      </c>
      <c r="C138" s="61" t="s">
        <v>31</v>
      </c>
      <c r="D138" s="141">
        <v>6</v>
      </c>
      <c r="E138" s="3"/>
    </row>
    <row r="139" spans="1:5" x14ac:dyDescent="0.2">
      <c r="A139" s="140"/>
      <c r="B139" s="116" t="s">
        <v>157</v>
      </c>
      <c r="C139" s="61" t="s">
        <v>127</v>
      </c>
      <c r="D139" s="141">
        <v>3</v>
      </c>
      <c r="E139" s="3"/>
    </row>
    <row r="140" spans="1:5" ht="15" thickBot="1" x14ac:dyDescent="0.25">
      <c r="A140" s="293" t="s">
        <v>78</v>
      </c>
      <c r="B140" s="294"/>
      <c r="C140" s="295"/>
      <c r="D140" s="113">
        <f>D139*D137*D138</f>
        <v>36</v>
      </c>
      <c r="E140" s="3"/>
    </row>
    <row r="141" spans="1:5" ht="15" thickBot="1" x14ac:dyDescent="0.25">
      <c r="A141" s="108">
        <f>ORÇAMENTO!A76</f>
        <v>8</v>
      </c>
      <c r="B141" s="109" t="str">
        <f>ORÇAMENTO!D76</f>
        <v>REVESTIMENTO DE PISO</v>
      </c>
      <c r="C141" s="70"/>
      <c r="D141" s="150"/>
      <c r="E141" s="3"/>
    </row>
    <row r="142" spans="1:5" ht="15" thickBot="1" x14ac:dyDescent="0.25">
      <c r="A142" s="110" t="s">
        <v>1</v>
      </c>
      <c r="B142" s="110" t="s">
        <v>56</v>
      </c>
      <c r="C142" s="110" t="s">
        <v>57</v>
      </c>
      <c r="D142" s="110" t="s">
        <v>58</v>
      </c>
      <c r="E142" s="3"/>
    </row>
    <row r="143" spans="1:5" s="151" customFormat="1" ht="25.5" x14ac:dyDescent="0.2">
      <c r="A143" s="124" t="str">
        <f>ORÇAMENTO!A77</f>
        <v>8.1</v>
      </c>
      <c r="B143" s="123" t="str">
        <f>ORÇAMENTO!D77</f>
        <v>PASSEIO PROTECAO EM CONC.DESEMPEN.5 CM 1:2,5:3,5 ( INCLUSO ESPELHO DE 30CM/ESCAVAÇÃO/REATERRO/APILOAMENTO/ATERRO INTERNO)</v>
      </c>
      <c r="C143" s="143" t="str">
        <f>ORÇAMENTO!F77</f>
        <v>m2</v>
      </c>
      <c r="D143" s="149" t="s">
        <v>186</v>
      </c>
    </row>
    <row r="144" spans="1:5" s="19" customFormat="1" x14ac:dyDescent="0.2">
      <c r="A144" s="65"/>
      <c r="B144" s="118" t="s">
        <v>187</v>
      </c>
      <c r="C144" s="119" t="s">
        <v>28</v>
      </c>
      <c r="D144" s="119">
        <v>513.48</v>
      </c>
    </row>
    <row r="145" spans="1:5" ht="15" thickBot="1" x14ac:dyDescent="0.25">
      <c r="A145" s="293" t="s">
        <v>78</v>
      </c>
      <c r="B145" s="294"/>
      <c r="C145" s="295"/>
      <c r="D145" s="113">
        <f>D144</f>
        <v>513.48</v>
      </c>
      <c r="E145" s="3"/>
    </row>
    <row r="146" spans="1:5" x14ac:dyDescent="0.2">
      <c r="A146" s="122" t="str">
        <f>ORÇAMENTO!A78</f>
        <v>8.2</v>
      </c>
      <c r="B146" s="123" t="str">
        <f>ORÇAMENTO!D78</f>
        <v xml:space="preserve">PISO CONCRETO DESEMPENADO ESPESSURA = 5 CM 1:2,5:3,5 </v>
      </c>
      <c r="C146" s="143" t="str">
        <f>ORÇAMENTO!F78</f>
        <v>m2</v>
      </c>
      <c r="D146" s="149" t="s">
        <v>186</v>
      </c>
      <c r="E146" s="3"/>
    </row>
    <row r="147" spans="1:5" s="19" customFormat="1" x14ac:dyDescent="0.2">
      <c r="A147" s="65"/>
      <c r="B147" s="118" t="s">
        <v>224</v>
      </c>
      <c r="C147" s="119" t="s">
        <v>28</v>
      </c>
      <c r="D147" s="119">
        <v>511.58</v>
      </c>
    </row>
    <row r="148" spans="1:5" ht="15" thickBot="1" x14ac:dyDescent="0.25">
      <c r="A148" s="293" t="s">
        <v>78</v>
      </c>
      <c r="B148" s="294"/>
      <c r="C148" s="295"/>
      <c r="D148" s="113">
        <f>SUM(D147:D147)</f>
        <v>511.58</v>
      </c>
      <c r="E148" s="3"/>
    </row>
    <row r="149" spans="1:5" ht="25.5" x14ac:dyDescent="0.2">
      <c r="A149" s="122" t="str">
        <f>ORÇAMENTO!A79</f>
        <v>8.3</v>
      </c>
      <c r="B149" s="123" t="str">
        <f>ORÇAMENTO!D79</f>
        <v>PISO DE LADRILHO HIDRÁULICO COLORIDO MODELO TÁTIL ( ALERTA OU DIRECIONAL) SEM LASTRO</v>
      </c>
      <c r="C149" s="143" t="str">
        <f>ORÇAMENTO!F79</f>
        <v>m2</v>
      </c>
      <c r="D149" s="149" t="s">
        <v>90</v>
      </c>
      <c r="E149" s="3"/>
    </row>
    <row r="150" spans="1:5" x14ac:dyDescent="0.2">
      <c r="A150" s="50"/>
      <c r="B150" s="116" t="s">
        <v>189</v>
      </c>
      <c r="C150" s="141" t="s">
        <v>31</v>
      </c>
      <c r="D150" s="129">
        <v>3</v>
      </c>
      <c r="E150" s="3"/>
    </row>
    <row r="151" spans="1:5" x14ac:dyDescent="0.2">
      <c r="A151" s="50"/>
      <c r="B151" s="120" t="s">
        <v>190</v>
      </c>
      <c r="C151" s="141" t="s">
        <v>28</v>
      </c>
      <c r="D151" s="129">
        <v>0.4</v>
      </c>
      <c r="E151" s="3"/>
    </row>
    <row r="152" spans="1:5" ht="15" thickBot="1" x14ac:dyDescent="0.25">
      <c r="A152" s="293" t="s">
        <v>78</v>
      </c>
      <c r="B152" s="294"/>
      <c r="C152" s="295"/>
      <c r="D152" s="113">
        <f>D151*D150</f>
        <v>1.2000000000000002</v>
      </c>
      <c r="E152" s="3"/>
    </row>
    <row r="153" spans="1:5" ht="15" thickBot="1" x14ac:dyDescent="0.25">
      <c r="A153" s="108">
        <f>ORÇAMENTO!A82</f>
        <v>9</v>
      </c>
      <c r="B153" s="109" t="str">
        <f>ORÇAMENTO!D82</f>
        <v>FERRAGENS</v>
      </c>
      <c r="C153" s="70"/>
      <c r="D153" s="70"/>
      <c r="E153" s="3"/>
    </row>
    <row r="154" spans="1:5" ht="15" customHeight="1" thickBot="1" x14ac:dyDescent="0.25">
      <c r="A154" s="110" t="s">
        <v>1</v>
      </c>
      <c r="B154" s="110" t="s">
        <v>56</v>
      </c>
      <c r="C154" s="110" t="s">
        <v>57</v>
      </c>
      <c r="D154" s="110" t="s">
        <v>58</v>
      </c>
      <c r="E154" s="3"/>
    </row>
    <row r="155" spans="1:5" x14ac:dyDescent="0.2">
      <c r="A155" s="122" t="str">
        <f>ORÇAMENTO!A83</f>
        <v>9.1</v>
      </c>
      <c r="B155" s="152" t="str">
        <f>ORÇAMENTO!D83</f>
        <v xml:space="preserve">ARRUELA LISA D=5/16" </v>
      </c>
      <c r="C155" s="143" t="str">
        <f>ORÇAMENTO!F83</f>
        <v xml:space="preserve">un </v>
      </c>
      <c r="D155" s="149" t="s">
        <v>25</v>
      </c>
      <c r="E155" s="3"/>
    </row>
    <row r="156" spans="1:5" x14ac:dyDescent="0.2">
      <c r="A156" s="122"/>
      <c r="B156" s="116" t="s">
        <v>229</v>
      </c>
      <c r="C156" s="141"/>
      <c r="D156" s="129">
        <f>28*2</f>
        <v>56</v>
      </c>
      <c r="E156" s="3"/>
    </row>
    <row r="157" spans="1:5" ht="15" thickBot="1" x14ac:dyDescent="0.25">
      <c r="A157" s="293" t="s">
        <v>78</v>
      </c>
      <c r="B157" s="294"/>
      <c r="C157" s="295"/>
      <c r="D157" s="113">
        <f>D156</f>
        <v>56</v>
      </c>
      <c r="E157" s="3"/>
    </row>
    <row r="158" spans="1:5" x14ac:dyDescent="0.2">
      <c r="A158" s="122" t="str">
        <f>ORÇAMENTO!A84</f>
        <v>9.2</v>
      </c>
      <c r="B158" s="152" t="str">
        <f>ORÇAMENTO!D84</f>
        <v xml:space="preserve">PORCA SEXTAVADA D = 5/16" </v>
      </c>
      <c r="C158" s="143" t="str">
        <f>ORÇAMENTO!F84</f>
        <v xml:space="preserve">un </v>
      </c>
      <c r="D158" s="149" t="s">
        <v>25</v>
      </c>
      <c r="E158" s="3"/>
    </row>
    <row r="159" spans="1:5" x14ac:dyDescent="0.2">
      <c r="A159" s="122"/>
      <c r="B159" s="116" t="s">
        <v>229</v>
      </c>
      <c r="C159" s="141"/>
      <c r="D159" s="129">
        <v>28</v>
      </c>
      <c r="E159" s="3"/>
    </row>
    <row r="160" spans="1:5" ht="15" thickBot="1" x14ac:dyDescent="0.25">
      <c r="A160" s="293" t="s">
        <v>78</v>
      </c>
      <c r="B160" s="294"/>
      <c r="C160" s="295"/>
      <c r="D160" s="113">
        <f>D159</f>
        <v>28</v>
      </c>
      <c r="E160" s="3"/>
    </row>
    <row r="161" spans="1:5" ht="28.5" customHeight="1" x14ac:dyDescent="0.2">
      <c r="A161" s="122" t="str">
        <f>ORÇAMENTO!A85</f>
        <v>9.3</v>
      </c>
      <c r="B161" s="153" t="str">
        <f>ORÇAMENTO!D85</f>
        <v>PARAFUSO ZINCADO ROSCA SOBERBA, CABECA SEXTAVADA, 5/16 " X 250 MM, PARA FIXACAO DE TELHA EM MADEIRA</v>
      </c>
      <c r="C161" s="143" t="str">
        <f>ORÇAMENTO!F85</f>
        <v xml:space="preserve">un </v>
      </c>
      <c r="D161" s="149" t="s">
        <v>25</v>
      </c>
      <c r="E161" s="3"/>
    </row>
    <row r="162" spans="1:5" x14ac:dyDescent="0.2">
      <c r="A162" s="122"/>
      <c r="B162" s="116" t="s">
        <v>229</v>
      </c>
      <c r="C162" s="141"/>
      <c r="D162" s="129">
        <v>28</v>
      </c>
      <c r="E162" s="3"/>
    </row>
    <row r="163" spans="1:5" ht="15" thickBot="1" x14ac:dyDescent="0.25">
      <c r="A163" s="293" t="s">
        <v>78</v>
      </c>
      <c r="B163" s="294"/>
      <c r="C163" s="295"/>
      <c r="D163" s="113">
        <f>D162</f>
        <v>28</v>
      </c>
      <c r="E163" s="3"/>
    </row>
    <row r="164" spans="1:5" ht="15" thickBot="1" x14ac:dyDescent="0.25">
      <c r="A164" s="108">
        <f>ORÇAMENTO!A88</f>
        <v>10</v>
      </c>
      <c r="B164" s="109" t="s">
        <v>21</v>
      </c>
      <c r="C164" s="70"/>
      <c r="D164" s="70"/>
      <c r="E164" s="3"/>
    </row>
    <row r="165" spans="1:5" ht="15" customHeight="1" thickBot="1" x14ac:dyDescent="0.25">
      <c r="A165" s="110" t="s">
        <v>1</v>
      </c>
      <c r="B165" s="110" t="s">
        <v>56</v>
      </c>
      <c r="C165" s="110" t="s">
        <v>57</v>
      </c>
      <c r="D165" s="110" t="s">
        <v>58</v>
      </c>
      <c r="E165" s="3"/>
    </row>
    <row r="166" spans="1:5" x14ac:dyDescent="0.2">
      <c r="A166" s="122" t="str">
        <f>ORÇAMENTO!A89</f>
        <v>10.1</v>
      </c>
      <c r="B166" s="152" t="str">
        <f>ORÇAMENTO!D89</f>
        <v xml:space="preserve">MESTRE DE OBRA - (OBRAS CIVIS) </v>
      </c>
      <c r="C166" s="143" t="str">
        <f>ORÇAMENTO!F89</f>
        <v xml:space="preserve">H </v>
      </c>
      <c r="D166" s="149" t="s">
        <v>167</v>
      </c>
      <c r="E166" s="3"/>
    </row>
    <row r="167" spans="1:5" x14ac:dyDescent="0.2">
      <c r="A167" s="122"/>
      <c r="B167" s="116" t="s">
        <v>173</v>
      </c>
      <c r="C167" s="141" t="s">
        <v>175</v>
      </c>
      <c r="D167" s="129">
        <v>5</v>
      </c>
      <c r="E167" s="3"/>
    </row>
    <row r="168" spans="1:5" x14ac:dyDescent="0.2">
      <c r="A168" s="50"/>
      <c r="B168" s="116" t="s">
        <v>174</v>
      </c>
      <c r="C168" s="141" t="s">
        <v>176</v>
      </c>
      <c r="D168" s="129">
        <v>60</v>
      </c>
      <c r="E168" s="3"/>
    </row>
    <row r="169" spans="1:5" ht="15" thickBot="1" x14ac:dyDescent="0.25">
      <c r="A169" s="293" t="s">
        <v>78</v>
      </c>
      <c r="B169" s="294"/>
      <c r="C169" s="295"/>
      <c r="D169" s="113">
        <f>D168*D167</f>
        <v>300</v>
      </c>
      <c r="E169" s="3"/>
    </row>
    <row r="170" spans="1:5" ht="15" thickBot="1" x14ac:dyDescent="0.25">
      <c r="A170" s="108">
        <f>ORÇAMENTO!A92</f>
        <v>11</v>
      </c>
      <c r="B170" s="109" t="s">
        <v>22</v>
      </c>
      <c r="C170" s="70"/>
      <c r="D170" s="70"/>
      <c r="E170" s="3"/>
    </row>
    <row r="171" spans="1:5" ht="15" thickBot="1" x14ac:dyDescent="0.25">
      <c r="A171" s="110" t="s">
        <v>1</v>
      </c>
      <c r="B171" s="110" t="s">
        <v>56</v>
      </c>
      <c r="C171" s="110" t="s">
        <v>57</v>
      </c>
      <c r="D171" s="110" t="s">
        <v>58</v>
      </c>
      <c r="E171" s="3"/>
    </row>
    <row r="172" spans="1:5" x14ac:dyDescent="0.2">
      <c r="A172" s="122" t="str">
        <f>ORÇAMENTO!A93</f>
        <v>11.1</v>
      </c>
      <c r="B172" s="123" t="str">
        <f>ORÇAMENTO!D93</f>
        <v xml:space="preserve">PINTURA VERNIZ EM MADEIRA 2 DEMAOS </v>
      </c>
      <c r="C172" s="143" t="str">
        <f>ORÇAMENTO!F93</f>
        <v>m2</v>
      </c>
      <c r="D172" s="149" t="s">
        <v>90</v>
      </c>
      <c r="E172" s="3"/>
    </row>
    <row r="173" spans="1:5" x14ac:dyDescent="0.2">
      <c r="A173" s="140" t="s">
        <v>69</v>
      </c>
      <c r="B173" s="116" t="s">
        <v>238</v>
      </c>
      <c r="C173" s="61"/>
      <c r="D173" s="137"/>
      <c r="E173" s="3"/>
    </row>
    <row r="174" spans="1:5" x14ac:dyDescent="0.2">
      <c r="A174" s="140"/>
      <c r="B174" s="116" t="s">
        <v>123</v>
      </c>
      <c r="C174" s="61" t="s">
        <v>31</v>
      </c>
      <c r="D174" s="137">
        <v>2</v>
      </c>
      <c r="E174" s="3"/>
    </row>
    <row r="175" spans="1:5" x14ac:dyDescent="0.2">
      <c r="A175" s="140"/>
      <c r="B175" s="116" t="s">
        <v>155</v>
      </c>
      <c r="C175" s="61" t="s">
        <v>127</v>
      </c>
      <c r="D175" s="141">
        <f>3*14</f>
        <v>42</v>
      </c>
      <c r="E175" s="3"/>
    </row>
    <row r="176" spans="1:5" x14ac:dyDescent="0.2">
      <c r="A176" s="140"/>
      <c r="B176" s="116" t="s">
        <v>177</v>
      </c>
      <c r="C176" s="61" t="s">
        <v>127</v>
      </c>
      <c r="D176" s="141">
        <f>0.12+0.06+0.12+0.06</f>
        <v>0.36</v>
      </c>
      <c r="E176" s="3"/>
    </row>
    <row r="177" spans="1:5" x14ac:dyDescent="0.2">
      <c r="A177" s="296" t="s">
        <v>125</v>
      </c>
      <c r="B177" s="297"/>
      <c r="C177" s="297"/>
      <c r="D177" s="138">
        <f>D176*D175*D174</f>
        <v>30.24</v>
      </c>
      <c r="E177" s="3"/>
    </row>
    <row r="178" spans="1:5" x14ac:dyDescent="0.2">
      <c r="A178" s="140" t="s">
        <v>70</v>
      </c>
      <c r="B178" s="116" t="s">
        <v>239</v>
      </c>
      <c r="C178" s="61"/>
      <c r="D178" s="137"/>
      <c r="E178" s="3"/>
    </row>
    <row r="179" spans="1:5" x14ac:dyDescent="0.2">
      <c r="A179" s="140"/>
      <c r="B179" s="116" t="s">
        <v>123</v>
      </c>
      <c r="C179" s="61" t="s">
        <v>31</v>
      </c>
      <c r="D179" s="137">
        <v>2</v>
      </c>
      <c r="E179" s="3"/>
    </row>
    <row r="180" spans="1:5" x14ac:dyDescent="0.2">
      <c r="A180" s="140"/>
      <c r="B180" s="116" t="s">
        <v>155</v>
      </c>
      <c r="C180" s="61" t="s">
        <v>127</v>
      </c>
      <c r="D180" s="141">
        <f>6*2</f>
        <v>12</v>
      </c>
      <c r="E180" s="3"/>
    </row>
    <row r="181" spans="1:5" x14ac:dyDescent="0.2">
      <c r="A181" s="140"/>
      <c r="B181" s="116" t="s">
        <v>177</v>
      </c>
      <c r="C181" s="61" t="s">
        <v>127</v>
      </c>
      <c r="D181" s="141">
        <f>0.16+0.06+0.16+0.06</f>
        <v>0.44</v>
      </c>
      <c r="E181" s="3"/>
    </row>
    <row r="182" spans="1:5" x14ac:dyDescent="0.2">
      <c r="A182" s="296" t="s">
        <v>125</v>
      </c>
      <c r="B182" s="297"/>
      <c r="C182" s="297"/>
      <c r="D182" s="138">
        <f>D181*D180*D179</f>
        <v>10.56</v>
      </c>
      <c r="E182" s="3"/>
    </row>
    <row r="183" spans="1:5" x14ac:dyDescent="0.2">
      <c r="A183" s="140" t="s">
        <v>71</v>
      </c>
      <c r="B183" s="116" t="s">
        <v>229</v>
      </c>
      <c r="C183" s="61"/>
      <c r="D183" s="137"/>
      <c r="E183" s="3"/>
    </row>
    <row r="184" spans="1:5" x14ac:dyDescent="0.2">
      <c r="A184" s="140"/>
      <c r="B184" s="116" t="s">
        <v>123</v>
      </c>
      <c r="C184" s="61" t="s">
        <v>31</v>
      </c>
      <c r="D184" s="137">
        <v>2</v>
      </c>
      <c r="E184" s="3"/>
    </row>
    <row r="185" spans="1:5" x14ac:dyDescent="0.2">
      <c r="A185" s="140"/>
      <c r="B185" s="116" t="s">
        <v>156</v>
      </c>
      <c r="C185" s="61" t="s">
        <v>31</v>
      </c>
      <c r="D185" s="141">
        <v>6</v>
      </c>
      <c r="E185" s="3"/>
    </row>
    <row r="186" spans="1:5" x14ac:dyDescent="0.2">
      <c r="A186" s="140"/>
      <c r="B186" s="116" t="s">
        <v>157</v>
      </c>
      <c r="C186" s="61" t="s">
        <v>127</v>
      </c>
      <c r="D186" s="141">
        <v>2.6</v>
      </c>
      <c r="E186" s="3"/>
    </row>
    <row r="187" spans="1:5" x14ac:dyDescent="0.2">
      <c r="A187" s="140"/>
      <c r="B187" s="116" t="s">
        <v>237</v>
      </c>
      <c r="C187" s="61" t="s">
        <v>127</v>
      </c>
      <c r="D187" s="141">
        <f>0.15+0.15+0.15+0.15</f>
        <v>0.6</v>
      </c>
      <c r="E187" s="3"/>
    </row>
    <row r="188" spans="1:5" x14ac:dyDescent="0.2">
      <c r="A188" s="296" t="s">
        <v>125</v>
      </c>
      <c r="B188" s="297"/>
      <c r="C188" s="297"/>
      <c r="D188" s="138">
        <f>D187*D186*D185*D184</f>
        <v>18.72</v>
      </c>
      <c r="E188" s="3"/>
    </row>
    <row r="189" spans="1:5" ht="15" thickBot="1" x14ac:dyDescent="0.25">
      <c r="A189" s="293" t="s">
        <v>240</v>
      </c>
      <c r="B189" s="294"/>
      <c r="C189" s="295"/>
      <c r="D189" s="113">
        <f>D188+D177+D182</f>
        <v>59.519999999999996</v>
      </c>
      <c r="E189" s="3"/>
    </row>
    <row r="190" spans="1:5" x14ac:dyDescent="0.2">
      <c r="A190" s="122" t="str">
        <f>ORÇAMENTO!A94</f>
        <v>11.2</v>
      </c>
      <c r="B190" s="123" t="str">
        <f>ORÇAMENTO!D94</f>
        <v xml:space="preserve">PINT.POLIESPORTIVA - 2 DEM.(PISOS E CIMENTADOS) </v>
      </c>
      <c r="C190" s="126" t="str">
        <f>ORÇAMENTO!F94</f>
        <v>m2</v>
      </c>
      <c r="D190" s="129" t="s">
        <v>90</v>
      </c>
      <c r="E190" s="3"/>
    </row>
    <row r="191" spans="1:5" s="19" customFormat="1" x14ac:dyDescent="0.2">
      <c r="A191" s="65"/>
      <c r="B191" s="118" t="s">
        <v>242</v>
      </c>
      <c r="C191" s="119" t="s">
        <v>28</v>
      </c>
      <c r="D191" s="119">
        <v>131.12</v>
      </c>
    </row>
    <row r="192" spans="1:5" s="19" customFormat="1" x14ac:dyDescent="0.2">
      <c r="A192" s="65"/>
      <c r="B192" s="118" t="s">
        <v>241</v>
      </c>
      <c r="C192" s="119" t="s">
        <v>28</v>
      </c>
      <c r="D192" s="119">
        <v>133.08000000000001</v>
      </c>
    </row>
    <row r="193" spans="1:5" s="19" customFormat="1" x14ac:dyDescent="0.2">
      <c r="A193" s="65"/>
      <c r="B193" s="118" t="s">
        <v>243</v>
      </c>
      <c r="C193" s="119" t="s">
        <v>28</v>
      </c>
      <c r="D193" s="119">
        <v>247.38</v>
      </c>
    </row>
    <row r="194" spans="1:5" s="19" customFormat="1" x14ac:dyDescent="0.2">
      <c r="A194" s="65"/>
      <c r="B194" s="118" t="s">
        <v>244</v>
      </c>
      <c r="C194" s="119" t="s">
        <v>28</v>
      </c>
      <c r="D194" s="119">
        <v>513.48</v>
      </c>
    </row>
    <row r="195" spans="1:5" ht="15" thickBot="1" x14ac:dyDescent="0.25">
      <c r="A195" s="293" t="s">
        <v>78</v>
      </c>
      <c r="B195" s="294"/>
      <c r="C195" s="295"/>
      <c r="D195" s="113">
        <f>SUM(D191:D194)</f>
        <v>1025.06</v>
      </c>
      <c r="E195" s="3"/>
    </row>
    <row r="196" spans="1:5" x14ac:dyDescent="0.2">
      <c r="A196" s="122" t="str">
        <f>ORÇAMENTO!A95</f>
        <v>11.3</v>
      </c>
      <c r="B196" s="123" t="str">
        <f>ORÇAMENTO!D95</f>
        <v>CAIAÇAO 2 DEMAOS EM POSTE/ VIGAS E MEIO FIO(OC)</v>
      </c>
      <c r="C196" s="126" t="str">
        <f>ORÇAMENTO!F95</f>
        <v>m2</v>
      </c>
      <c r="D196" s="129" t="s">
        <v>90</v>
      </c>
      <c r="E196" s="3"/>
    </row>
    <row r="197" spans="1:5" s="19" customFormat="1" x14ac:dyDescent="0.2">
      <c r="A197" s="65" t="s">
        <v>69</v>
      </c>
      <c r="B197" s="118" t="s">
        <v>252</v>
      </c>
      <c r="C197" s="119"/>
      <c r="D197" s="119"/>
    </row>
    <row r="198" spans="1:5" s="19" customFormat="1" x14ac:dyDescent="0.2">
      <c r="A198" s="65"/>
      <c r="B198" s="118" t="s">
        <v>253</v>
      </c>
      <c r="C198" s="119" t="s">
        <v>127</v>
      </c>
      <c r="D198" s="119">
        <v>129.38999999999999</v>
      </c>
    </row>
    <row r="199" spans="1:5" s="19" customFormat="1" x14ac:dyDescent="0.2">
      <c r="A199" s="65"/>
      <c r="B199" s="118" t="s">
        <v>256</v>
      </c>
      <c r="C199" s="119" t="s">
        <v>127</v>
      </c>
      <c r="D199" s="119">
        <f>0.1+0.15</f>
        <v>0.25</v>
      </c>
    </row>
    <row r="200" spans="1:5" x14ac:dyDescent="0.2">
      <c r="A200" s="296" t="s">
        <v>125</v>
      </c>
      <c r="B200" s="297"/>
      <c r="C200" s="297"/>
      <c r="D200" s="138">
        <f>D198*D199</f>
        <v>32.347499999999997</v>
      </c>
      <c r="E200" s="3"/>
    </row>
    <row r="201" spans="1:5" s="19" customFormat="1" x14ac:dyDescent="0.2">
      <c r="A201" s="65" t="s">
        <v>70</v>
      </c>
      <c r="B201" s="118" t="s">
        <v>257</v>
      </c>
      <c r="C201" s="119"/>
      <c r="D201" s="119"/>
    </row>
    <row r="202" spans="1:5" s="19" customFormat="1" x14ac:dyDescent="0.2">
      <c r="A202" s="65"/>
      <c r="B202" s="118" t="s">
        <v>259</v>
      </c>
      <c r="C202" s="119" t="s">
        <v>31</v>
      </c>
      <c r="D202" s="119">
        <v>50</v>
      </c>
    </row>
    <row r="203" spans="1:5" s="19" customFormat="1" x14ac:dyDescent="0.2">
      <c r="A203" s="65"/>
      <c r="B203" s="118" t="s">
        <v>258</v>
      </c>
      <c r="C203" s="119" t="s">
        <v>127</v>
      </c>
      <c r="D203" s="119">
        <f>0.1+0.1+0.1+0.1</f>
        <v>0.4</v>
      </c>
    </row>
    <row r="204" spans="1:5" s="19" customFormat="1" x14ac:dyDescent="0.2">
      <c r="A204" s="65"/>
      <c r="B204" s="118" t="s">
        <v>213</v>
      </c>
      <c r="C204" s="119" t="s">
        <v>127</v>
      </c>
      <c r="D204" s="119">
        <v>3</v>
      </c>
    </row>
    <row r="205" spans="1:5" x14ac:dyDescent="0.2">
      <c r="A205" s="296" t="s">
        <v>125</v>
      </c>
      <c r="B205" s="297"/>
      <c r="C205" s="297"/>
      <c r="D205" s="138">
        <f>D204*D203*D202</f>
        <v>60.000000000000007</v>
      </c>
      <c r="E205" s="3"/>
    </row>
    <row r="206" spans="1:5" ht="15" thickBot="1" x14ac:dyDescent="0.25">
      <c r="A206" s="293" t="s">
        <v>282</v>
      </c>
      <c r="B206" s="294"/>
      <c r="C206" s="295"/>
      <c r="D206" s="113">
        <f>D200+D205</f>
        <v>92.347499999999997</v>
      </c>
      <c r="E206" s="3"/>
    </row>
    <row r="207" spans="1:5" ht="15" thickBot="1" x14ac:dyDescent="0.25">
      <c r="A207" s="108">
        <f>ORÇAMENTO!A98</f>
        <v>12</v>
      </c>
      <c r="B207" s="109" t="s">
        <v>23</v>
      </c>
      <c r="C207" s="70"/>
      <c r="D207" s="70"/>
      <c r="E207" s="3"/>
    </row>
    <row r="208" spans="1:5" ht="15" thickBot="1" x14ac:dyDescent="0.25">
      <c r="A208" s="110" t="s">
        <v>1</v>
      </c>
      <c r="B208" s="110" t="s">
        <v>56</v>
      </c>
      <c r="C208" s="110" t="s">
        <v>57</v>
      </c>
      <c r="D208" s="110" t="s">
        <v>58</v>
      </c>
      <c r="E208" s="3"/>
    </row>
    <row r="209" spans="1:5" s="151" customFormat="1" x14ac:dyDescent="0.2">
      <c r="A209" s="124" t="str">
        <f>ORÇAMENTO!A99</f>
        <v>12.1</v>
      </c>
      <c r="B209" s="153" t="str">
        <f>ORÇAMENTO!D99</f>
        <v>LIMPEZA FINAL DE OBRA - (OBRAS CIVIS)</v>
      </c>
      <c r="C209" s="126" t="str">
        <f>ORÇAMENTO!F99</f>
        <v>m2</v>
      </c>
      <c r="D209" s="149" t="s">
        <v>196</v>
      </c>
    </row>
    <row r="210" spans="1:5" x14ac:dyDescent="0.2">
      <c r="A210" s="122"/>
      <c r="B210" s="116" t="s">
        <v>196</v>
      </c>
      <c r="C210" s="141" t="s">
        <v>28</v>
      </c>
      <c r="D210" s="119">
        <f>ORÇAMENTO!$O$109/1168.28</f>
        <v>169.65582281216831</v>
      </c>
      <c r="E210" s="3"/>
    </row>
    <row r="211" spans="1:5" ht="15" thickBot="1" x14ac:dyDescent="0.25">
      <c r="A211" s="293" t="s">
        <v>78</v>
      </c>
      <c r="B211" s="294"/>
      <c r="C211" s="295"/>
      <c r="D211" s="113">
        <f>D210</f>
        <v>169.65582281216831</v>
      </c>
      <c r="E211" s="3"/>
    </row>
    <row r="212" spans="1:5" ht="25.5" x14ac:dyDescent="0.2">
      <c r="A212" s="122" t="str">
        <f>ORÇAMENTO!A100</f>
        <v>12.2</v>
      </c>
      <c r="B212" s="153" t="str">
        <f>ORÇAMENTO!D100</f>
        <v>PLANTIO GRAMA ESMERALDA PLACA C/ M.O. IRRIG., ADUBO,TERRA VEGETAL (O.C.) A&lt;11.000,00M2</v>
      </c>
      <c r="C212" s="126" t="str">
        <f>ORÇAMENTO!F100</f>
        <v>m2</v>
      </c>
      <c r="D212" s="149" t="s">
        <v>90</v>
      </c>
      <c r="E212" s="3"/>
    </row>
    <row r="213" spans="1:5" x14ac:dyDescent="0.2">
      <c r="A213" s="122"/>
      <c r="B213" s="116" t="s">
        <v>197</v>
      </c>
      <c r="C213" s="141" t="s">
        <v>28</v>
      </c>
      <c r="D213" s="129">
        <v>1803.67</v>
      </c>
      <c r="E213" s="3"/>
    </row>
    <row r="214" spans="1:5" ht="15" thickBot="1" x14ac:dyDescent="0.25">
      <c r="A214" s="293" t="s">
        <v>78</v>
      </c>
      <c r="B214" s="294"/>
      <c r="C214" s="295"/>
      <c r="D214" s="113">
        <f>D213</f>
        <v>1803.67</v>
      </c>
      <c r="E214" s="3"/>
    </row>
    <row r="215" spans="1:5" x14ac:dyDescent="0.2">
      <c r="A215" s="122" t="str">
        <f>ORÇAMENTO!A101</f>
        <v>12.3</v>
      </c>
      <c r="B215" s="152" t="str">
        <f>ORÇAMENTO!D101</f>
        <v xml:space="preserve">PLACA DE INAUGURACAO ACO ESCOVADO 80 X 60 CM </v>
      </c>
      <c r="C215" s="126" t="str">
        <f>ORÇAMENTO!F101</f>
        <v>un</v>
      </c>
      <c r="D215" s="149" t="s">
        <v>25</v>
      </c>
      <c r="E215" s="3"/>
    </row>
    <row r="216" spans="1:5" x14ac:dyDescent="0.2">
      <c r="A216" s="122"/>
      <c r="B216" s="116" t="s">
        <v>183</v>
      </c>
      <c r="C216" s="141" t="s">
        <v>31</v>
      </c>
      <c r="D216" s="129">
        <v>1</v>
      </c>
      <c r="E216" s="3"/>
    </row>
    <row r="217" spans="1:5" ht="15" thickBot="1" x14ac:dyDescent="0.25">
      <c r="A217" s="293" t="s">
        <v>78</v>
      </c>
      <c r="B217" s="294"/>
      <c r="C217" s="295"/>
      <c r="D217" s="113">
        <f>D216</f>
        <v>1</v>
      </c>
      <c r="E217" s="3"/>
    </row>
    <row r="218" spans="1:5" x14ac:dyDescent="0.2">
      <c r="A218" s="122" t="str">
        <f>ORÇAMENTO!A102</f>
        <v>12.4</v>
      </c>
      <c r="B218" s="152" t="str">
        <f>ORÇAMENTO!D102</f>
        <v>OBELISCO PARA PLACA DE INAUGURAÇÃO - PADRÃO GOINFRA</v>
      </c>
      <c r="C218" s="126" t="str">
        <f>ORÇAMENTO!F103</f>
        <v xml:space="preserve">m </v>
      </c>
      <c r="D218" s="149" t="s">
        <v>25</v>
      </c>
      <c r="E218" s="3"/>
    </row>
    <row r="219" spans="1:5" x14ac:dyDescent="0.2">
      <c r="A219" s="122"/>
      <c r="B219" s="116" t="s">
        <v>183</v>
      </c>
      <c r="C219" s="141" t="s">
        <v>31</v>
      </c>
      <c r="D219" s="129">
        <v>1</v>
      </c>
      <c r="E219" s="3"/>
    </row>
    <row r="220" spans="1:5" ht="15" thickBot="1" x14ac:dyDescent="0.25">
      <c r="A220" s="293" t="s">
        <v>78</v>
      </c>
      <c r="B220" s="294"/>
      <c r="C220" s="295"/>
      <c r="D220" s="113">
        <f>D219</f>
        <v>1</v>
      </c>
      <c r="E220" s="3"/>
    </row>
    <row r="221" spans="1:5" ht="29.25" customHeight="1" x14ac:dyDescent="0.2">
      <c r="A221" s="122" t="str">
        <f>ORÇAMENTO!A103</f>
        <v>12.5</v>
      </c>
      <c r="B221" s="153" t="str">
        <f>ORÇAMENTO!D103</f>
        <v>BANCO DE CONCRETO POLIDO BASE EM ALVENARIA REBOCADA E PINTADA - PADRÃO GOINFRA</v>
      </c>
      <c r="C221" s="126" t="str">
        <f>ORÇAMENTO!F103</f>
        <v xml:space="preserve">m </v>
      </c>
      <c r="D221" s="149" t="s">
        <v>25</v>
      </c>
      <c r="E221" s="3"/>
    </row>
    <row r="222" spans="1:5" x14ac:dyDescent="0.2">
      <c r="A222" s="50" t="s">
        <v>69</v>
      </c>
      <c r="B222" s="116" t="s">
        <v>184</v>
      </c>
      <c r="C222" s="141" t="s">
        <v>31</v>
      </c>
      <c r="D222" s="129">
        <v>10</v>
      </c>
      <c r="E222" s="3"/>
    </row>
    <row r="223" spans="1:5" x14ac:dyDescent="0.2">
      <c r="A223" s="125" t="s">
        <v>70</v>
      </c>
      <c r="B223" s="116" t="s">
        <v>185</v>
      </c>
      <c r="C223" s="141" t="s">
        <v>172</v>
      </c>
      <c r="D223" s="129">
        <v>1.5</v>
      </c>
      <c r="E223" s="3"/>
    </row>
    <row r="224" spans="1:5" ht="15" thickBot="1" x14ac:dyDescent="0.25">
      <c r="A224" s="293" t="s">
        <v>222</v>
      </c>
      <c r="B224" s="294"/>
      <c r="C224" s="295"/>
      <c r="D224" s="113">
        <f>D223*D222</f>
        <v>15</v>
      </c>
      <c r="E224" s="3"/>
    </row>
    <row r="225" spans="1:7" x14ac:dyDescent="0.2">
      <c r="A225" s="122" t="str">
        <f>ORÇAMENTO!A104</f>
        <v>12.6</v>
      </c>
      <c r="B225" s="152" t="str">
        <f>ORÇAMENTO!D104</f>
        <v>IPOMEIA - H=1,00/1,50 M - (IPOMOEA LEARII) TREPADEIRA</v>
      </c>
      <c r="C225" s="126" t="str">
        <f>ORÇAMENTO!F104</f>
        <v>un</v>
      </c>
      <c r="D225" s="149" t="s">
        <v>25</v>
      </c>
      <c r="E225" s="3"/>
    </row>
    <row r="226" spans="1:7" x14ac:dyDescent="0.2">
      <c r="A226" s="154"/>
      <c r="B226" s="116" t="s">
        <v>249</v>
      </c>
      <c r="C226" s="141" t="s">
        <v>31</v>
      </c>
      <c r="D226" s="129">
        <v>6</v>
      </c>
      <c r="E226" s="3"/>
    </row>
    <row r="227" spans="1:7" ht="15" thickBot="1" x14ac:dyDescent="0.25">
      <c r="A227" s="293" t="s">
        <v>78</v>
      </c>
      <c r="B227" s="294"/>
      <c r="C227" s="295"/>
      <c r="D227" s="113">
        <f>D226</f>
        <v>6</v>
      </c>
      <c r="E227" s="3"/>
    </row>
    <row r="228" spans="1:7" x14ac:dyDescent="0.2">
      <c r="A228" s="122" t="str">
        <f>ORÇAMENTO!A105</f>
        <v>12.7</v>
      </c>
      <c r="B228" s="152" t="str">
        <f>ORÇAMENTO!D105</f>
        <v>TUMBERGIA - H=0,50/0,70 M - (THUNBERGIA GRANDIFLORA) TREPADEIRA</v>
      </c>
      <c r="C228" s="126" t="str">
        <f>ORÇAMENTO!F105</f>
        <v>un</v>
      </c>
      <c r="D228" s="149" t="s">
        <v>25</v>
      </c>
      <c r="E228" s="3"/>
    </row>
    <row r="229" spans="1:7" x14ac:dyDescent="0.2">
      <c r="A229" s="122"/>
      <c r="B229" s="116" t="s">
        <v>249</v>
      </c>
      <c r="C229" s="141" t="s">
        <v>31</v>
      </c>
      <c r="D229" s="129">
        <v>6</v>
      </c>
      <c r="E229" s="3"/>
    </row>
    <row r="230" spans="1:7" ht="15" thickBot="1" x14ac:dyDescent="0.25">
      <c r="A230" s="293" t="s">
        <v>78</v>
      </c>
      <c r="B230" s="294"/>
      <c r="C230" s="295"/>
      <c r="D230" s="113">
        <f>D229</f>
        <v>6</v>
      </c>
      <c r="E230" s="3"/>
    </row>
    <row r="231" spans="1:7" ht="26.25" customHeight="1" x14ac:dyDescent="0.2">
      <c r="A231" s="122" t="str">
        <f>ORÇAMENTO!A106</f>
        <v>12.8</v>
      </c>
      <c r="B231" s="153" t="str">
        <f>ORÇAMENTO!D106</f>
        <v>PLANTIO DE ÁRVORE ORNAMENTAL COM ALTURA DE MUDA MAIOR QUE 2,00 M E MENOR OU IGUAL A 4,00 M. AF_05/2018</v>
      </c>
      <c r="C231" s="126" t="str">
        <f>ORÇAMENTO!F106</f>
        <v>un</v>
      </c>
      <c r="D231" s="149" t="s">
        <v>25</v>
      </c>
      <c r="E231" s="3"/>
    </row>
    <row r="232" spans="1:7" x14ac:dyDescent="0.2">
      <c r="A232" s="122"/>
      <c r="B232" s="116" t="s">
        <v>248</v>
      </c>
      <c r="C232" s="141" t="s">
        <v>31</v>
      </c>
      <c r="D232" s="129">
        <v>10</v>
      </c>
      <c r="E232" s="3"/>
    </row>
    <row r="233" spans="1:7" ht="15" thickBot="1" x14ac:dyDescent="0.25">
      <c r="A233" s="293" t="s">
        <v>78</v>
      </c>
      <c r="B233" s="294"/>
      <c r="C233" s="295"/>
      <c r="D233" s="113">
        <f>D232</f>
        <v>10</v>
      </c>
      <c r="E233" s="3"/>
    </row>
    <row r="234" spans="1:7" x14ac:dyDescent="0.2">
      <c r="A234" s="122" t="str">
        <f>ORÇAMENTO!A107</f>
        <v>12.9</v>
      </c>
      <c r="B234" s="152" t="str">
        <f>ORÇAMENTO!D107</f>
        <v>PLANTIO DE ARBUSTO OU CERCA VIVA. AF_05/2018</v>
      </c>
      <c r="C234" s="126" t="str">
        <f>ORÇAMENTO!F107</f>
        <v>un</v>
      </c>
      <c r="D234" s="149" t="s">
        <v>25</v>
      </c>
      <c r="E234" s="3"/>
    </row>
    <row r="235" spans="1:7" x14ac:dyDescent="0.2">
      <c r="A235" s="122"/>
      <c r="B235" s="116" t="s">
        <v>250</v>
      </c>
      <c r="C235" s="141" t="s">
        <v>31</v>
      </c>
      <c r="D235" s="129">
        <f>21+12</f>
        <v>33</v>
      </c>
      <c r="E235" s="3"/>
    </row>
    <row r="236" spans="1:7" ht="15" thickBot="1" x14ac:dyDescent="0.25">
      <c r="A236" s="293" t="s">
        <v>78</v>
      </c>
      <c r="B236" s="294"/>
      <c r="C236" s="295"/>
      <c r="D236" s="113">
        <f>D235</f>
        <v>33</v>
      </c>
      <c r="E236" s="3"/>
    </row>
    <row r="237" spans="1:7" x14ac:dyDescent="0.2">
      <c r="A237" s="122" t="str">
        <f>ORÇAMENTO!A108</f>
        <v>12.10</v>
      </c>
      <c r="B237" s="152" t="str">
        <f>ORÇAMENTO!D108</f>
        <v xml:space="preserve">MEIO FIO COM SARJETA - MFU02 </v>
      </c>
      <c r="C237" s="126" t="str">
        <f>ORÇAMENTO!F108</f>
        <v>m</v>
      </c>
      <c r="D237" s="149" t="s">
        <v>25</v>
      </c>
      <c r="E237" s="3"/>
    </row>
    <row r="238" spans="1:7" x14ac:dyDescent="0.2">
      <c r="A238" s="122"/>
      <c r="B238" s="116" t="s">
        <v>251</v>
      </c>
      <c r="C238" s="141" t="s">
        <v>127</v>
      </c>
      <c r="D238" s="129">
        <v>10</v>
      </c>
      <c r="E238" s="3"/>
    </row>
    <row r="239" spans="1:7" ht="15" thickBot="1" x14ac:dyDescent="0.25">
      <c r="A239" s="293" t="s">
        <v>78</v>
      </c>
      <c r="B239" s="294"/>
      <c r="C239" s="295"/>
      <c r="D239" s="113">
        <f>D238</f>
        <v>10</v>
      </c>
      <c r="E239" s="3"/>
    </row>
    <row r="240" spans="1:7" x14ac:dyDescent="0.2">
      <c r="A240" s="279" t="s">
        <v>55</v>
      </c>
      <c r="B240" s="280"/>
      <c r="C240" s="280"/>
      <c r="D240" s="155"/>
      <c r="E240" s="156"/>
      <c r="F240" s="157"/>
      <c r="G240" s="158"/>
    </row>
    <row r="241" spans="1:7" x14ac:dyDescent="0.2">
      <c r="A241" s="231"/>
      <c r="B241" s="232"/>
      <c r="C241" s="232"/>
      <c r="D241" s="159"/>
      <c r="E241" s="156"/>
      <c r="F241" s="157"/>
      <c r="G241" s="158"/>
    </row>
    <row r="242" spans="1:7" x14ac:dyDescent="0.2">
      <c r="A242" s="231"/>
      <c r="B242" s="232"/>
      <c r="C242" s="232"/>
      <c r="D242" s="159"/>
      <c r="E242" s="156"/>
      <c r="F242" s="157"/>
      <c r="G242" s="158"/>
    </row>
    <row r="243" spans="1:7" x14ac:dyDescent="0.2">
      <c r="A243" s="231"/>
      <c r="B243" s="232"/>
      <c r="C243" s="232"/>
      <c r="D243" s="159"/>
      <c r="E243" s="156"/>
      <c r="F243" s="157"/>
      <c r="G243" s="158"/>
    </row>
    <row r="244" spans="1:7" ht="15" customHeight="1" x14ac:dyDescent="0.2">
      <c r="A244" s="276" t="s">
        <v>283</v>
      </c>
      <c r="B244" s="277"/>
      <c r="C244" s="277"/>
      <c r="D244" s="278"/>
      <c r="E244" s="3"/>
    </row>
    <row r="245" spans="1:7" ht="15" customHeight="1" x14ac:dyDescent="0.2">
      <c r="A245" s="287" t="s">
        <v>284</v>
      </c>
      <c r="B245" s="288"/>
      <c r="C245" s="288"/>
      <c r="D245" s="289"/>
      <c r="E245" s="3"/>
    </row>
    <row r="246" spans="1:7" ht="15" customHeight="1" x14ac:dyDescent="0.2">
      <c r="A246" s="276" t="s">
        <v>285</v>
      </c>
      <c r="B246" s="277"/>
      <c r="C246" s="277"/>
      <c r="D246" s="278"/>
      <c r="E246" s="3"/>
    </row>
    <row r="247" spans="1:7" ht="15.75" customHeight="1" thickBot="1" x14ac:dyDescent="0.25">
      <c r="A247" s="290" t="s">
        <v>286</v>
      </c>
      <c r="B247" s="291"/>
      <c r="C247" s="291"/>
      <c r="D247" s="292"/>
      <c r="E247" s="3"/>
    </row>
    <row r="248" spans="1:7" x14ac:dyDescent="0.2">
      <c r="A248" s="232"/>
      <c r="B248" s="90"/>
      <c r="C248" s="232"/>
      <c r="D248" s="86"/>
      <c r="E248" s="156"/>
      <c r="F248" s="88"/>
      <c r="G248" s="160"/>
    </row>
  </sheetData>
  <sheetProtection algorithmName="SHA-512" hashValue="wO9M9R55lFwd2k4ICHLFO5SMNFtAeO2c7fi+t8tV/s2OMJbKWBiuekcAAvxfbfTTpNa6vusjL7TKAhzM4WduIw==" saltValue="y/tLyH+lQ5yR8ZmHZTUEbQ==" spinCount="100000" sheet="1" selectLockedCells="1"/>
  <mergeCells count="57">
    <mergeCell ref="A1:C2"/>
    <mergeCell ref="A82:C82"/>
    <mergeCell ref="B84:D84"/>
    <mergeCell ref="A94:C94"/>
    <mergeCell ref="A58:C58"/>
    <mergeCell ref="A34:C34"/>
    <mergeCell ref="A37:C37"/>
    <mergeCell ref="B66:D66"/>
    <mergeCell ref="A62:C62"/>
    <mergeCell ref="A55:C55"/>
    <mergeCell ref="B90:D90"/>
    <mergeCell ref="B78:D78"/>
    <mergeCell ref="B72:D72"/>
    <mergeCell ref="A70:C70"/>
    <mergeCell ref="A76:C76"/>
    <mergeCell ref="A88:C88"/>
    <mergeCell ref="A21:C21"/>
    <mergeCell ref="A24:C24"/>
    <mergeCell ref="A46:C46"/>
    <mergeCell ref="A29:C29"/>
    <mergeCell ref="A18:C18"/>
    <mergeCell ref="A177:C177"/>
    <mergeCell ref="A145:C145"/>
    <mergeCell ref="A148:C148"/>
    <mergeCell ref="A152:C152"/>
    <mergeCell ref="A42:C42"/>
    <mergeCell ref="A51:C51"/>
    <mergeCell ref="A96:C96"/>
    <mergeCell ref="A169:C169"/>
    <mergeCell ref="A128:C128"/>
    <mergeCell ref="A134:C134"/>
    <mergeCell ref="A140:C140"/>
    <mergeCell ref="A157:C157"/>
    <mergeCell ref="A160:C160"/>
    <mergeCell ref="A163:C163"/>
    <mergeCell ref="A214:C214"/>
    <mergeCell ref="A205:C205"/>
    <mergeCell ref="A239:C239"/>
    <mergeCell ref="A227:C227"/>
    <mergeCell ref="A230:C230"/>
    <mergeCell ref="A233:C233"/>
    <mergeCell ref="A236:C236"/>
    <mergeCell ref="A224:C224"/>
    <mergeCell ref="A217:C217"/>
    <mergeCell ref="A211:C211"/>
    <mergeCell ref="A182:C182"/>
    <mergeCell ref="A206:C206"/>
    <mergeCell ref="A200:C200"/>
    <mergeCell ref="A188:C188"/>
    <mergeCell ref="A189:C189"/>
    <mergeCell ref="A195:C195"/>
    <mergeCell ref="A244:D244"/>
    <mergeCell ref="A245:D245"/>
    <mergeCell ref="A246:D246"/>
    <mergeCell ref="A247:D247"/>
    <mergeCell ref="A220:C220"/>
    <mergeCell ref="A240:C240"/>
  </mergeCells>
  <phoneticPr fontId="4" type="noConversion"/>
  <pageMargins left="0.78740157480314965" right="0.35433070866141736" top="0.78740157480314965" bottom="0.39370078740157483" header="0.31496062992125984" footer="0.31496062992125984"/>
  <pageSetup paperSize="9" scale="62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zoomScaleNormal="100" workbookViewId="0">
      <selection sqref="A1:XFD1048576"/>
    </sheetView>
  </sheetViews>
  <sheetFormatPr defaultColWidth="9.140625" defaultRowHeight="14.25" x14ac:dyDescent="0.2"/>
  <cols>
    <col min="1" max="1" width="5.42578125" style="164" bestFit="1" customWidth="1"/>
    <col min="2" max="2" width="32.42578125" style="164" customWidth="1"/>
    <col min="3" max="3" width="16.85546875" style="164" bestFit="1" customWidth="1"/>
    <col min="4" max="6" width="35.7109375" style="164" customWidth="1"/>
    <col min="7" max="8" width="9.140625" style="67"/>
    <col min="9" max="9" width="13.28515625" style="67" bestFit="1" customWidth="1"/>
    <col min="10" max="16384" width="9.140625" style="67"/>
  </cols>
  <sheetData>
    <row r="1" spans="1:9" ht="15" customHeight="1" x14ac:dyDescent="0.2">
      <c r="A1" s="165"/>
      <c r="B1" s="167"/>
      <c r="C1" s="301" t="s">
        <v>79</v>
      </c>
      <c r="D1" s="302"/>
      <c r="E1" s="302"/>
      <c r="F1" s="303"/>
    </row>
    <row r="2" spans="1:9" x14ac:dyDescent="0.2">
      <c r="A2" s="168"/>
      <c r="B2" s="170"/>
      <c r="C2" s="304"/>
      <c r="D2" s="305"/>
      <c r="E2" s="305"/>
      <c r="F2" s="306"/>
    </row>
    <row r="3" spans="1:9" x14ac:dyDescent="0.2">
      <c r="A3" s="168"/>
      <c r="B3" s="170"/>
      <c r="C3" s="173" t="str">
        <f>ORÇAMENTO!C3</f>
        <v>SETOR</v>
      </c>
      <c r="D3" s="174" t="str">
        <f>ORÇAMENTO!D3</f>
        <v>SECRETARIA MUNICIPAL DE OBRAS</v>
      </c>
      <c r="E3" s="174"/>
      <c r="F3" s="175"/>
    </row>
    <row r="4" spans="1:9" x14ac:dyDescent="0.2">
      <c r="A4" s="168"/>
      <c r="B4" s="170"/>
      <c r="C4" s="173" t="str">
        <f>ORÇAMENTO!C4</f>
        <v>OBJETO</v>
      </c>
      <c r="D4" s="169" t="str">
        <f>ORÇAMENTO!D4</f>
        <v>CONSTRUÇÃO DE PRAÇA NO BAIRRO CONQUISTA</v>
      </c>
      <c r="E4" s="169"/>
      <c r="F4" s="170"/>
    </row>
    <row r="5" spans="1:9" x14ac:dyDescent="0.2">
      <c r="A5" s="168"/>
      <c r="B5" s="170"/>
      <c r="C5" s="173" t="str">
        <f>ORÇAMENTO!C5</f>
        <v>PROCESSO</v>
      </c>
      <c r="D5" s="233">
        <f>ORÇAMENTO!D5</f>
        <v>2022009671</v>
      </c>
      <c r="E5" s="169"/>
      <c r="F5" s="170"/>
    </row>
    <row r="6" spans="1:9" x14ac:dyDescent="0.2">
      <c r="A6" s="168"/>
      <c r="B6" s="170"/>
      <c r="C6" s="173" t="str">
        <f>ORÇAMENTO!C6</f>
        <v>ENDEREÇO</v>
      </c>
      <c r="D6" s="233" t="str">
        <f>ORÇAMENTO!D6</f>
        <v>ÁREA DE USO PÚBLICO APM-06, RUA C-17, ESQ. C/ RUA C-19 E RUA C-10, RESIDENCIAL CONQUISTA</v>
      </c>
      <c r="E6" s="169"/>
      <c r="F6" s="170"/>
    </row>
    <row r="7" spans="1:9" x14ac:dyDescent="0.2">
      <c r="A7" s="168"/>
      <c r="B7" s="170"/>
      <c r="C7" s="173" t="str">
        <f>ORÇAMENTO!C7</f>
        <v>TABELAS</v>
      </c>
      <c r="D7" s="169" t="str">
        <f>ORÇAMENTO!D7</f>
        <v>TABELA GOINFRA T161 - CUSTOS DE OBRAS CIVIS - JANEIRO/2022 - DESONERADA - DATA BASE: 01/01/2022</v>
      </c>
      <c r="E7" s="169"/>
      <c r="F7" s="170"/>
    </row>
    <row r="8" spans="1:9" ht="25.5" customHeight="1" x14ac:dyDescent="0.2">
      <c r="A8" s="168"/>
      <c r="B8" s="170"/>
      <c r="C8" s="173"/>
      <c r="D8" s="323" t="str">
        <f>ORÇAMENTO!D8</f>
        <v>TABELA SINAPI PCI.818.01 - CUSTO DE COMPOSIÇÕES - SINTÉTITICO - FEVEREIRO/2022 - COM DESONERAÇÃO - DATA BASE: 14/03/2022</v>
      </c>
      <c r="E8" s="323"/>
      <c r="F8" s="324"/>
    </row>
    <row r="9" spans="1:9" ht="29.25" customHeight="1" x14ac:dyDescent="0.2">
      <c r="A9" s="168"/>
      <c r="B9" s="170"/>
      <c r="C9" s="173"/>
      <c r="D9" s="323" t="str">
        <f>'MEMÓRIA DE CÁLCULO'!B9</f>
        <v>TABELA DE TERRAPLENAGEM, PAVIMENTAÇÃO E OBRAS DE ARTE ESPECIAIS - T163 - JAN/22 - COM DESONERAÇÃO - DATA BASE: 01/01/2022</v>
      </c>
      <c r="E9" s="323"/>
      <c r="F9" s="324"/>
    </row>
    <row r="10" spans="1:9" x14ac:dyDescent="0.2">
      <c r="A10" s="168"/>
      <c r="B10" s="170"/>
      <c r="C10" s="173"/>
      <c r="D10" s="307" t="str">
        <f>ORÇAMENTO!D10</f>
        <v>TABELA SIUB - COM DESONERAÇÃO - DATA BASE: 01/07/2021</v>
      </c>
      <c r="E10" s="307"/>
      <c r="F10" s="308"/>
    </row>
    <row r="11" spans="1:9" ht="15" thickBot="1" x14ac:dyDescent="0.25">
      <c r="A11" s="171"/>
      <c r="B11" s="172"/>
      <c r="C11" s="176" t="str">
        <f>ORÇAMENTO!C11</f>
        <v xml:space="preserve">DATA </v>
      </c>
      <c r="D11" s="313" t="str">
        <f>ORÇAMENTO!D11</f>
        <v>28 DE MARÇO DE 2022</v>
      </c>
      <c r="E11" s="313"/>
      <c r="F11" s="314"/>
    </row>
    <row r="12" spans="1:9" x14ac:dyDescent="0.2">
      <c r="A12" s="177"/>
      <c r="B12" s="178"/>
      <c r="C12" s="178"/>
      <c r="D12" s="178"/>
      <c r="E12" s="178"/>
      <c r="F12" s="247"/>
    </row>
    <row r="13" spans="1:9" x14ac:dyDescent="0.2">
      <c r="A13" s="331" t="s">
        <v>1</v>
      </c>
      <c r="B13" s="331" t="s">
        <v>59</v>
      </c>
      <c r="C13" s="331"/>
      <c r="D13" s="310" t="s">
        <v>74</v>
      </c>
      <c r="E13" s="311"/>
      <c r="F13" s="312"/>
    </row>
    <row r="14" spans="1:9" x14ac:dyDescent="0.2">
      <c r="A14" s="331"/>
      <c r="B14" s="331"/>
      <c r="C14" s="331"/>
      <c r="D14" s="179" t="s">
        <v>75</v>
      </c>
      <c r="E14" s="179" t="s">
        <v>76</v>
      </c>
      <c r="F14" s="240" t="s">
        <v>77</v>
      </c>
    </row>
    <row r="15" spans="1:9" x14ac:dyDescent="0.2">
      <c r="A15" s="332">
        <f>1</f>
        <v>1</v>
      </c>
      <c r="B15" s="332" t="s">
        <v>9</v>
      </c>
      <c r="C15" s="180">
        <f>ORÇAMENTO!I22</f>
        <v>10855</v>
      </c>
      <c r="D15" s="181">
        <v>0.75</v>
      </c>
      <c r="E15" s="181">
        <v>0.15</v>
      </c>
      <c r="F15" s="241">
        <v>0.1</v>
      </c>
      <c r="G15" s="182">
        <f>SUM(D15:F15)</f>
        <v>1</v>
      </c>
      <c r="I15" s="183" t="e">
        <f>C17/#REF!</f>
        <v>#REF!</v>
      </c>
    </row>
    <row r="16" spans="1:9" ht="8.1" customHeight="1" x14ac:dyDescent="0.2">
      <c r="A16" s="332"/>
      <c r="B16" s="333"/>
      <c r="C16" s="184"/>
      <c r="D16" s="185"/>
      <c r="E16" s="185"/>
      <c r="F16" s="242"/>
      <c r="G16" s="182"/>
      <c r="I16" s="186"/>
    </row>
    <row r="17" spans="1:9" x14ac:dyDescent="0.2">
      <c r="A17" s="332"/>
      <c r="B17" s="332"/>
      <c r="C17" s="187">
        <f>ORÇAMENTO!J22</f>
        <v>13447.173999999999</v>
      </c>
      <c r="D17" s="188">
        <f>D15*$C$17</f>
        <v>10085.380499999999</v>
      </c>
      <c r="E17" s="188">
        <f t="shared" ref="E17:F17" si="0">E15*$C$17</f>
        <v>2017.0760999999998</v>
      </c>
      <c r="F17" s="243">
        <f t="shared" si="0"/>
        <v>1344.7174</v>
      </c>
      <c r="G17" s="182"/>
      <c r="I17" s="186"/>
    </row>
    <row r="18" spans="1:9" x14ac:dyDescent="0.2">
      <c r="A18" s="318">
        <f>A15+1</f>
        <v>2</v>
      </c>
      <c r="B18" s="318" t="str">
        <f>ORÇAMENTO!D24</f>
        <v>TRANSPORTES</v>
      </c>
      <c r="C18" s="180">
        <f>ORÇAMENTO!I27</f>
        <v>5092.62</v>
      </c>
      <c r="D18" s="181">
        <v>0.75</v>
      </c>
      <c r="E18" s="181">
        <v>0.15</v>
      </c>
      <c r="F18" s="241">
        <v>0.1</v>
      </c>
      <c r="G18" s="182">
        <f>SUM(D18:F18)</f>
        <v>1</v>
      </c>
      <c r="I18" s="183" t="e">
        <f>C20/#REF!</f>
        <v>#REF!</v>
      </c>
    </row>
    <row r="19" spans="1:9" ht="8.1" customHeight="1" x14ac:dyDescent="0.2">
      <c r="A19" s="319"/>
      <c r="B19" s="334"/>
      <c r="C19" s="189"/>
      <c r="D19" s="185"/>
      <c r="E19" s="185"/>
      <c r="F19" s="242"/>
      <c r="G19" s="182"/>
      <c r="I19" s="186"/>
    </row>
    <row r="20" spans="1:9" x14ac:dyDescent="0.2">
      <c r="A20" s="320"/>
      <c r="B20" s="320"/>
      <c r="C20" s="187">
        <f>ORÇAMENTO!J27</f>
        <v>6308.7376559999993</v>
      </c>
      <c r="D20" s="188">
        <f>D18*$C$20</f>
        <v>4731.553242</v>
      </c>
      <c r="E20" s="188">
        <f t="shared" ref="E20:F20" si="1">E18*$C$20</f>
        <v>946.31064839999988</v>
      </c>
      <c r="F20" s="243">
        <f t="shared" si="1"/>
        <v>630.87376559999996</v>
      </c>
      <c r="G20" s="182"/>
      <c r="I20" s="186"/>
    </row>
    <row r="21" spans="1:9" x14ac:dyDescent="0.2">
      <c r="A21" s="318">
        <f>A18+1</f>
        <v>3</v>
      </c>
      <c r="B21" s="332" t="str">
        <f>ORÇAMENTO!D29</f>
        <v>SERVICO EM TERRA</v>
      </c>
      <c r="C21" s="180">
        <f>ORÇAMENTO!I34</f>
        <v>12687.44</v>
      </c>
      <c r="D21" s="181">
        <v>0.77</v>
      </c>
      <c r="E21" s="190">
        <v>0.23</v>
      </c>
      <c r="F21" s="244"/>
      <c r="G21" s="182">
        <f>SUM(D21:F21)</f>
        <v>1</v>
      </c>
      <c r="I21" s="183" t="e">
        <f>C23/#REF!</f>
        <v>#REF!</v>
      </c>
    </row>
    <row r="22" spans="1:9" ht="8.1" customHeight="1" x14ac:dyDescent="0.2">
      <c r="A22" s="319"/>
      <c r="B22" s="333"/>
      <c r="C22" s="189"/>
      <c r="D22" s="185"/>
      <c r="E22" s="185"/>
      <c r="F22" s="242"/>
      <c r="G22" s="182"/>
      <c r="I22" s="186"/>
    </row>
    <row r="23" spans="1:9" x14ac:dyDescent="0.2">
      <c r="A23" s="320"/>
      <c r="B23" s="332"/>
      <c r="C23" s="187">
        <f>ORÇAMENTO!J34</f>
        <v>15717.200671999999</v>
      </c>
      <c r="D23" s="188">
        <f>D21*C23</f>
        <v>12102.24451744</v>
      </c>
      <c r="E23" s="188">
        <f>E21*C23</f>
        <v>3614.95615456</v>
      </c>
      <c r="F23" s="243">
        <f t="shared" ref="F23" si="2">F21*$C$23</f>
        <v>0</v>
      </c>
      <c r="G23" s="182"/>
      <c r="I23" s="186"/>
    </row>
    <row r="24" spans="1:9" x14ac:dyDescent="0.2">
      <c r="A24" s="318">
        <f>A21+1</f>
        <v>4</v>
      </c>
      <c r="B24" s="321" t="str">
        <f>ORÇAMENTO!D36</f>
        <v>FUNDACOES E SONDAGENS</v>
      </c>
      <c r="C24" s="180">
        <f>ORÇAMENTO!I42</f>
        <v>1427.1</v>
      </c>
      <c r="D24" s="181">
        <v>0.8</v>
      </c>
      <c r="E24" s="191">
        <v>0.2</v>
      </c>
      <c r="F24" s="245"/>
      <c r="G24" s="182">
        <f>SUM(D24:F24)</f>
        <v>1</v>
      </c>
      <c r="I24" s="183" t="e">
        <f>C26/#REF!</f>
        <v>#REF!</v>
      </c>
    </row>
    <row r="25" spans="1:9" ht="8.1" customHeight="1" x14ac:dyDescent="0.2">
      <c r="A25" s="319"/>
      <c r="B25" s="322"/>
      <c r="C25" s="192"/>
      <c r="D25" s="185"/>
      <c r="E25" s="185"/>
      <c r="F25" s="242"/>
      <c r="G25" s="182"/>
      <c r="I25" s="186"/>
    </row>
    <row r="26" spans="1:9" x14ac:dyDescent="0.2">
      <c r="A26" s="320"/>
      <c r="B26" s="321"/>
      <c r="C26" s="187">
        <f>ORÇAMENTO!J42</f>
        <v>1767.8914799999998</v>
      </c>
      <c r="D26" s="188">
        <f t="shared" ref="D26:F26" si="3">D24*$C$26</f>
        <v>1414.3131839999999</v>
      </c>
      <c r="E26" s="188">
        <f t="shared" si="3"/>
        <v>353.57829599999997</v>
      </c>
      <c r="F26" s="243">
        <f t="shared" si="3"/>
        <v>0</v>
      </c>
      <c r="G26" s="182"/>
      <c r="I26" s="186"/>
    </row>
    <row r="27" spans="1:9" x14ac:dyDescent="0.2">
      <c r="A27" s="318">
        <f t="shared" ref="A27" si="4">A24+1</f>
        <v>5</v>
      </c>
      <c r="B27" s="315" t="str">
        <f>ORÇAMENTO!D44</f>
        <v>INST. ELET./TELEFONICA/CABEAMENTO ESTRUTURADO</v>
      </c>
      <c r="C27" s="180">
        <f>ORÇAMENTO!I57</f>
        <v>30882.52</v>
      </c>
      <c r="D27" s="181"/>
      <c r="E27" s="193">
        <v>0.3</v>
      </c>
      <c r="F27" s="246">
        <v>0.7</v>
      </c>
      <c r="G27" s="182">
        <f>SUM(D27:F27)</f>
        <v>1</v>
      </c>
      <c r="I27" s="183" t="e">
        <f>C29/#REF!</f>
        <v>#REF!</v>
      </c>
    </row>
    <row r="28" spans="1:9" ht="8.1" customHeight="1" x14ac:dyDescent="0.2">
      <c r="A28" s="319"/>
      <c r="B28" s="316"/>
      <c r="C28" s="192"/>
      <c r="D28" s="185"/>
      <c r="E28" s="185"/>
      <c r="F28" s="242"/>
      <c r="G28" s="182"/>
      <c r="I28" s="186"/>
    </row>
    <row r="29" spans="1:9" ht="27" customHeight="1" x14ac:dyDescent="0.2">
      <c r="A29" s="320"/>
      <c r="B29" s="317"/>
      <c r="C29" s="187">
        <f>ORÇAMENTO!J57</f>
        <v>38257.265776</v>
      </c>
      <c r="D29" s="188">
        <f>D27*$C$29</f>
        <v>0</v>
      </c>
      <c r="E29" s="188">
        <f>E27*$C$29</f>
        <v>11477.179732799999</v>
      </c>
      <c r="F29" s="243">
        <f>F27*$C$29</f>
        <v>26780.086043199997</v>
      </c>
      <c r="G29" s="182"/>
      <c r="I29" s="186"/>
    </row>
    <row r="30" spans="1:9" x14ac:dyDescent="0.2">
      <c r="A30" s="318">
        <f t="shared" ref="A30" si="5">A27+1</f>
        <v>6</v>
      </c>
      <c r="B30" s="318" t="str">
        <f>ORÇAMENTO!D59</f>
        <v>INSTALAÇÕES HIDROSSANITÁRIAS</v>
      </c>
      <c r="C30" s="194">
        <f>ORÇAMENTO!I68</f>
        <v>1061.1199999999999</v>
      </c>
      <c r="D30" s="181">
        <v>0.4</v>
      </c>
      <c r="E30" s="193">
        <v>0.5</v>
      </c>
      <c r="F30" s="246">
        <v>0.1</v>
      </c>
      <c r="G30" s="182">
        <f>SUM(D30:F30)</f>
        <v>1</v>
      </c>
      <c r="I30" s="183" t="e">
        <f>C32/#REF!</f>
        <v>#REF!</v>
      </c>
    </row>
    <row r="31" spans="1:9" ht="8.1" customHeight="1" x14ac:dyDescent="0.2">
      <c r="A31" s="319"/>
      <c r="B31" s="319"/>
      <c r="C31" s="195"/>
      <c r="D31" s="185"/>
      <c r="E31" s="185"/>
      <c r="F31" s="242"/>
      <c r="G31" s="182"/>
      <c r="I31" s="186"/>
    </row>
    <row r="32" spans="1:9" x14ac:dyDescent="0.2">
      <c r="A32" s="320"/>
      <c r="B32" s="320"/>
      <c r="C32" s="187">
        <f>ORÇAMENTO!J68</f>
        <v>1314.5154559999999</v>
      </c>
      <c r="D32" s="188">
        <f>D30*$C$32</f>
        <v>525.80618240000001</v>
      </c>
      <c r="E32" s="188">
        <f>E30*$C$32</f>
        <v>657.25772799999993</v>
      </c>
      <c r="F32" s="243">
        <f>F30*$C$32</f>
        <v>131.4515456</v>
      </c>
      <c r="G32" s="182"/>
      <c r="I32" s="186"/>
    </row>
    <row r="33" spans="1:9" x14ac:dyDescent="0.2">
      <c r="A33" s="318">
        <f t="shared" ref="A33" si="6">A30+1</f>
        <v>7</v>
      </c>
      <c r="B33" s="321" t="str">
        <f>ORÇAMENTO!D70</f>
        <v>ESTRUTURA DE MADEIRA</v>
      </c>
      <c r="C33" s="180">
        <f>ORÇAMENTO!I74</f>
        <v>7049.04</v>
      </c>
      <c r="D33" s="181"/>
      <c r="E33" s="193"/>
      <c r="F33" s="246">
        <v>1</v>
      </c>
      <c r="G33" s="182">
        <f>SUM(D33:F33)</f>
        <v>1</v>
      </c>
      <c r="I33" s="183" t="e">
        <f>C35/#REF!</f>
        <v>#REF!</v>
      </c>
    </row>
    <row r="34" spans="1:9" ht="8.1" customHeight="1" x14ac:dyDescent="0.2">
      <c r="A34" s="319"/>
      <c r="B34" s="322"/>
      <c r="C34" s="192"/>
      <c r="D34" s="185"/>
      <c r="E34" s="185"/>
      <c r="F34" s="242"/>
      <c r="G34" s="182"/>
      <c r="I34" s="186"/>
    </row>
    <row r="35" spans="1:9" x14ac:dyDescent="0.2">
      <c r="A35" s="320"/>
      <c r="B35" s="321"/>
      <c r="C35" s="187">
        <f>ORÇAMENTO!J74</f>
        <v>8732.3507519999985</v>
      </c>
      <c r="D35" s="188">
        <f>D33*$C$35</f>
        <v>0</v>
      </c>
      <c r="E35" s="188">
        <f>E33*$C$35</f>
        <v>0</v>
      </c>
      <c r="F35" s="243">
        <f>F33*$C$35</f>
        <v>8732.3507519999985</v>
      </c>
      <c r="G35" s="182"/>
      <c r="I35" s="186"/>
    </row>
    <row r="36" spans="1:9" x14ac:dyDescent="0.2">
      <c r="A36" s="318">
        <f t="shared" ref="A36" si="7">A33+1</f>
        <v>8</v>
      </c>
      <c r="B36" s="315" t="str">
        <f>ORÇAMENTO!D76</f>
        <v>REVESTIMENTO DE PISO</v>
      </c>
      <c r="C36" s="180">
        <f>ORÇAMENTO!I80</f>
        <v>49857.36</v>
      </c>
      <c r="D36" s="181">
        <v>0.2</v>
      </c>
      <c r="E36" s="193">
        <v>0.6</v>
      </c>
      <c r="F36" s="246">
        <v>0.2</v>
      </c>
      <c r="G36" s="182">
        <f>SUM(D36:F36)</f>
        <v>1</v>
      </c>
      <c r="I36" s="183" t="e">
        <f>C38/#REF!</f>
        <v>#REF!</v>
      </c>
    </row>
    <row r="37" spans="1:9" ht="8.1" customHeight="1" x14ac:dyDescent="0.2">
      <c r="A37" s="319"/>
      <c r="B37" s="316"/>
      <c r="C37" s="192"/>
      <c r="D37" s="185"/>
      <c r="E37" s="185"/>
      <c r="F37" s="242"/>
      <c r="G37" s="182"/>
      <c r="I37" s="186"/>
    </row>
    <row r="38" spans="1:9" x14ac:dyDescent="0.2">
      <c r="A38" s="320"/>
      <c r="B38" s="317"/>
      <c r="C38" s="187">
        <f>ORÇAMENTO!J80</f>
        <v>61763.297567999994</v>
      </c>
      <c r="D38" s="188">
        <f>D36*$C$38</f>
        <v>12352.6595136</v>
      </c>
      <c r="E38" s="188">
        <f>E36*$C$38</f>
        <v>37057.978540799995</v>
      </c>
      <c r="F38" s="243">
        <f>F36*$C$38</f>
        <v>12352.6595136</v>
      </c>
      <c r="G38" s="182"/>
      <c r="I38" s="186"/>
    </row>
    <row r="39" spans="1:9" x14ac:dyDescent="0.2">
      <c r="A39" s="318">
        <f t="shared" ref="A39" si="8">A36+1</f>
        <v>9</v>
      </c>
      <c r="B39" s="321" t="str">
        <f>ORÇAMENTO!D82</f>
        <v>FERRAGENS</v>
      </c>
      <c r="C39" s="180">
        <f>ORÇAMENTO!I86</f>
        <v>81.2</v>
      </c>
      <c r="D39" s="181"/>
      <c r="E39" s="193"/>
      <c r="F39" s="246">
        <v>1</v>
      </c>
      <c r="G39" s="182">
        <f>SUM(D39:F39)</f>
        <v>1</v>
      </c>
      <c r="I39" s="183" t="e">
        <f>C41/#REF!</f>
        <v>#REF!</v>
      </c>
    </row>
    <row r="40" spans="1:9" ht="8.1" customHeight="1" x14ac:dyDescent="0.2">
      <c r="A40" s="319"/>
      <c r="B40" s="322"/>
      <c r="C40" s="192"/>
      <c r="D40" s="185"/>
      <c r="E40" s="185"/>
      <c r="F40" s="242"/>
      <c r="G40" s="182"/>
      <c r="I40" s="186"/>
    </row>
    <row r="41" spans="1:9" x14ac:dyDescent="0.2">
      <c r="A41" s="320"/>
      <c r="B41" s="321"/>
      <c r="C41" s="187">
        <f>ORÇAMENTO!J86</f>
        <v>100.59056</v>
      </c>
      <c r="D41" s="188">
        <f>D39*$C$41</f>
        <v>0</v>
      </c>
      <c r="E41" s="188">
        <f>E39*$C$41</f>
        <v>0</v>
      </c>
      <c r="F41" s="243">
        <f>F39*$C$41</f>
        <v>100.59056</v>
      </c>
      <c r="G41" s="182"/>
      <c r="I41" s="186"/>
    </row>
    <row r="42" spans="1:9" x14ac:dyDescent="0.2">
      <c r="A42" s="318">
        <f t="shared" ref="A42" si="9">A39+1</f>
        <v>10</v>
      </c>
      <c r="B42" s="321" t="str">
        <f>ORÇAMENTO!D88</f>
        <v>ADMINISTRAÇÃO - MENSALISTAS</v>
      </c>
      <c r="C42" s="180">
        <f>ORÇAMENTO!I90</f>
        <v>10104</v>
      </c>
      <c r="D42" s="181">
        <v>0.25</v>
      </c>
      <c r="E42" s="193">
        <v>0.35</v>
      </c>
      <c r="F42" s="246">
        <v>0.4</v>
      </c>
      <c r="G42" s="182">
        <f>SUM(D42:F42)</f>
        <v>1</v>
      </c>
      <c r="I42" s="183" t="e">
        <f>C44/#REF!</f>
        <v>#REF!</v>
      </c>
    </row>
    <row r="43" spans="1:9" ht="8.1" customHeight="1" x14ac:dyDescent="0.2">
      <c r="A43" s="319"/>
      <c r="B43" s="322"/>
      <c r="C43" s="192"/>
      <c r="D43" s="185"/>
      <c r="E43" s="185"/>
      <c r="F43" s="242"/>
      <c r="G43" s="182"/>
      <c r="I43" s="186"/>
    </row>
    <row r="44" spans="1:9" x14ac:dyDescent="0.2">
      <c r="A44" s="320"/>
      <c r="B44" s="321"/>
      <c r="C44" s="187">
        <f>ORÇAMENTO!J90</f>
        <v>12516.8352</v>
      </c>
      <c r="D44" s="188">
        <f>D42*$C$44</f>
        <v>3129.2087999999999</v>
      </c>
      <c r="E44" s="188">
        <f>E42*$C$44</f>
        <v>4380.8923199999999</v>
      </c>
      <c r="F44" s="243">
        <f>F42*$C$44</f>
        <v>5006.7340800000002</v>
      </c>
      <c r="G44" s="182"/>
      <c r="I44" s="186"/>
    </row>
    <row r="45" spans="1:9" x14ac:dyDescent="0.2">
      <c r="A45" s="318">
        <f t="shared" ref="A45" si="10">A42+1</f>
        <v>11</v>
      </c>
      <c r="B45" s="315" t="str">
        <f>ORÇAMENTO!D92</f>
        <v>PINTURA</v>
      </c>
      <c r="C45" s="180">
        <f>ORÇAMENTO!I96</f>
        <v>11596.96</v>
      </c>
      <c r="D45" s="181"/>
      <c r="E45" s="193"/>
      <c r="F45" s="246">
        <v>1</v>
      </c>
      <c r="G45" s="182">
        <f>SUM(D45:F45)</f>
        <v>1</v>
      </c>
      <c r="I45" s="183" t="e">
        <f>C47/#REF!</f>
        <v>#REF!</v>
      </c>
    </row>
    <row r="46" spans="1:9" ht="8.1" customHeight="1" x14ac:dyDescent="0.2">
      <c r="A46" s="319"/>
      <c r="B46" s="316"/>
      <c r="C46" s="192"/>
      <c r="D46" s="185"/>
      <c r="E46" s="185"/>
      <c r="F46" s="242"/>
      <c r="G46" s="182"/>
      <c r="I46" s="186"/>
    </row>
    <row r="47" spans="1:9" x14ac:dyDescent="0.2">
      <c r="A47" s="320"/>
      <c r="B47" s="317"/>
      <c r="C47" s="187">
        <f>ORÇAMENTO!J96</f>
        <v>14366.314047999998</v>
      </c>
      <c r="D47" s="188">
        <f>D45*$C$47</f>
        <v>0</v>
      </c>
      <c r="E47" s="188">
        <f>E45*$C$47</f>
        <v>0</v>
      </c>
      <c r="F47" s="242">
        <f>F45*$C$47</f>
        <v>14366.314047999998</v>
      </c>
      <c r="G47" s="182"/>
      <c r="I47" s="186"/>
    </row>
    <row r="48" spans="1:9" x14ac:dyDescent="0.2">
      <c r="A48" s="318">
        <f t="shared" ref="A48" si="11">A45+1</f>
        <v>12</v>
      </c>
      <c r="B48" s="321" t="str">
        <f>ORÇAMENTO!D98</f>
        <v>DIVERSOS</v>
      </c>
      <c r="C48" s="180">
        <f>ORÇAMENTO!I109</f>
        <v>31241.43</v>
      </c>
      <c r="D48" s="181"/>
      <c r="E48" s="193">
        <v>0.25</v>
      </c>
      <c r="F48" s="246">
        <v>0.75</v>
      </c>
      <c r="G48" s="182">
        <f>SUM(D48:F48)</f>
        <v>1</v>
      </c>
      <c r="I48" s="183" t="e">
        <f>C50/#REF!</f>
        <v>#REF!</v>
      </c>
    </row>
    <row r="49" spans="1:7" ht="8.1" customHeight="1" x14ac:dyDescent="0.2">
      <c r="A49" s="319"/>
      <c r="B49" s="322"/>
      <c r="C49" s="192"/>
      <c r="D49" s="185"/>
      <c r="E49" s="185"/>
      <c r="F49" s="242"/>
      <c r="G49" s="182"/>
    </row>
    <row r="50" spans="1:7" x14ac:dyDescent="0.2">
      <c r="A50" s="320"/>
      <c r="B50" s="321"/>
      <c r="C50" s="187">
        <f>ORÇAMENTO!J109</f>
        <v>38591.008644000001</v>
      </c>
      <c r="D50" s="188">
        <f>D48*$C$50</f>
        <v>0</v>
      </c>
      <c r="E50" s="188">
        <f>E48*$C$50</f>
        <v>9647.7521610000003</v>
      </c>
      <c r="F50" s="243">
        <f>F48*$C$50</f>
        <v>28943.256483000001</v>
      </c>
      <c r="G50" s="182"/>
    </row>
    <row r="51" spans="1:7" x14ac:dyDescent="0.2">
      <c r="A51" s="196"/>
      <c r="B51" s="328"/>
      <c r="C51" s="328"/>
      <c r="D51" s="328"/>
      <c r="E51" s="328"/>
      <c r="F51" s="329"/>
    </row>
    <row r="52" spans="1:7" ht="15" customHeight="1" x14ac:dyDescent="0.2">
      <c r="A52" s="310" t="s">
        <v>60</v>
      </c>
      <c r="B52" s="311"/>
      <c r="C52" s="330"/>
      <c r="D52" s="197">
        <f t="shared" ref="D52:F52" si="12">D54/VALOR_TOTAL</f>
        <v>0.20828872230309989</v>
      </c>
      <c r="E52" s="197">
        <f t="shared" si="12"/>
        <v>0.32953745375486271</v>
      </c>
      <c r="F52" s="236">
        <f t="shared" si="12"/>
        <v>0.46217382394203715</v>
      </c>
    </row>
    <row r="53" spans="1:7" x14ac:dyDescent="0.2">
      <c r="A53" s="310" t="s">
        <v>61</v>
      </c>
      <c r="B53" s="311"/>
      <c r="C53" s="330"/>
      <c r="D53" s="198">
        <f>D52</f>
        <v>0.20828872230309989</v>
      </c>
      <c r="E53" s="198">
        <f t="shared" ref="E53:F53" si="13">D53+E52</f>
        <v>0.53782617605796257</v>
      </c>
      <c r="F53" s="237">
        <f t="shared" si="13"/>
        <v>0.99999999999999978</v>
      </c>
    </row>
    <row r="54" spans="1:7" x14ac:dyDescent="0.2">
      <c r="A54" s="310" t="s">
        <v>62</v>
      </c>
      <c r="B54" s="311"/>
      <c r="C54" s="330"/>
      <c r="D54" s="234">
        <f>D26+D17+D20+D23+D29+D32+D35+D38+D41+D44+D47+D50</f>
        <v>44341.165939439998</v>
      </c>
      <c r="E54" s="234">
        <f>E26+E17+E20+E23+E29+E32+E35+E38+E41+E44+E47+E50</f>
        <v>70152.981681559992</v>
      </c>
      <c r="F54" s="238">
        <f>F26+F17+F20+F23+F29+F32+F35+F38+F41+F44+F47+F50</f>
        <v>98389.034190999984</v>
      </c>
    </row>
    <row r="55" spans="1:7" ht="15" thickBot="1" x14ac:dyDescent="0.25">
      <c r="A55" s="325" t="s">
        <v>63</v>
      </c>
      <c r="B55" s="326"/>
      <c r="C55" s="327"/>
      <c r="D55" s="235">
        <f>D54</f>
        <v>44341.165939439998</v>
      </c>
      <c r="E55" s="235">
        <f>D55+E54</f>
        <v>114494.14762099998</v>
      </c>
      <c r="F55" s="239">
        <f t="shared" ref="F55" si="14">E55+F54</f>
        <v>212883.18181199997</v>
      </c>
    </row>
    <row r="56" spans="1:7" x14ac:dyDescent="0.2">
      <c r="A56" s="165"/>
      <c r="B56" s="166"/>
      <c r="C56" s="166"/>
      <c r="D56" s="166"/>
      <c r="E56" s="166"/>
      <c r="F56" s="167"/>
    </row>
    <row r="57" spans="1:7" x14ac:dyDescent="0.2">
      <c r="A57" s="309"/>
      <c r="B57" s="263"/>
      <c r="C57" s="263"/>
      <c r="D57" s="86"/>
      <c r="E57" s="232"/>
      <c r="F57" s="227"/>
    </row>
    <row r="58" spans="1:7" x14ac:dyDescent="0.2">
      <c r="A58" s="231"/>
      <c r="B58" s="232"/>
      <c r="C58" s="232"/>
      <c r="D58" s="86"/>
      <c r="E58" s="232"/>
      <c r="F58" s="227"/>
    </row>
    <row r="59" spans="1:7" ht="15" customHeight="1" x14ac:dyDescent="0.2">
      <c r="A59" s="276" t="s">
        <v>287</v>
      </c>
      <c r="B59" s="277"/>
      <c r="C59" s="277"/>
      <c r="D59" s="277"/>
      <c r="E59" s="277"/>
      <c r="F59" s="278"/>
    </row>
    <row r="60" spans="1:7" ht="15" customHeight="1" x14ac:dyDescent="0.2">
      <c r="A60" s="287" t="s">
        <v>288</v>
      </c>
      <c r="B60" s="288"/>
      <c r="C60" s="288"/>
      <c r="D60" s="288"/>
      <c r="E60" s="288"/>
      <c r="F60" s="289"/>
    </row>
    <row r="61" spans="1:7" ht="15" customHeight="1" x14ac:dyDescent="0.2">
      <c r="A61" s="276" t="s">
        <v>289</v>
      </c>
      <c r="B61" s="277"/>
      <c r="C61" s="277"/>
      <c r="D61" s="277"/>
      <c r="E61" s="277"/>
      <c r="F61" s="278"/>
    </row>
    <row r="62" spans="1:7" ht="15.75" customHeight="1" thickBot="1" x14ac:dyDescent="0.25">
      <c r="A62" s="91"/>
      <c r="B62" s="291" t="s">
        <v>308</v>
      </c>
      <c r="C62" s="291"/>
      <c r="D62" s="291"/>
      <c r="E62" s="291"/>
      <c r="F62" s="292"/>
    </row>
    <row r="63" spans="1:7" x14ac:dyDescent="0.2">
      <c r="A63" s="92"/>
      <c r="B63" s="90"/>
      <c r="C63" s="232"/>
      <c r="D63" s="86"/>
      <c r="E63" s="232"/>
      <c r="F63" s="88"/>
    </row>
    <row r="64" spans="1:7" x14ac:dyDescent="0.2">
      <c r="A64" s="232"/>
      <c r="B64" s="90"/>
      <c r="C64" s="232"/>
      <c r="D64" s="86"/>
      <c r="E64" s="232"/>
      <c r="F64" s="88"/>
    </row>
    <row r="65" spans="1:6" x14ac:dyDescent="0.2">
      <c r="A65" s="232"/>
      <c r="B65" s="90"/>
      <c r="C65" s="232"/>
      <c r="D65" s="86"/>
      <c r="E65" s="232"/>
      <c r="F65" s="88"/>
    </row>
  </sheetData>
  <sheetProtection algorithmName="SHA-512" hashValue="1c/PPTg3uGTpYTPoX0l1KhliE0UJoJMKzzHiZyWiuGWmiBI4Z6WlqgVdPD36+6p+CdNmv6DmbjCCGMR60jJDdw==" saltValue="Ehvp6NallgU+IN03bvNtAQ==" spinCount="100000" sheet="1" objects="1" scenarios="1"/>
  <mergeCells count="42">
    <mergeCell ref="B18:B20"/>
    <mergeCell ref="A21:A23"/>
    <mergeCell ref="B21:B23"/>
    <mergeCell ref="A24:A26"/>
    <mergeCell ref="D9:F9"/>
    <mergeCell ref="A55:C55"/>
    <mergeCell ref="B51:F51"/>
    <mergeCell ref="A52:C52"/>
    <mergeCell ref="A53:C53"/>
    <mergeCell ref="A54:C54"/>
    <mergeCell ref="B33:B35"/>
    <mergeCell ref="B24:B26"/>
    <mergeCell ref="A27:A29"/>
    <mergeCell ref="D8:F8"/>
    <mergeCell ref="A48:A50"/>
    <mergeCell ref="B48:B50"/>
    <mergeCell ref="B36:B38"/>
    <mergeCell ref="B39:B41"/>
    <mergeCell ref="B42:B44"/>
    <mergeCell ref="A45:A47"/>
    <mergeCell ref="B45:B47"/>
    <mergeCell ref="A13:A14"/>
    <mergeCell ref="B13:C14"/>
    <mergeCell ref="A15:A17"/>
    <mergeCell ref="B15:B17"/>
    <mergeCell ref="A18:A20"/>
    <mergeCell ref="A59:F59"/>
    <mergeCell ref="A60:F60"/>
    <mergeCell ref="A61:F61"/>
    <mergeCell ref="B62:F62"/>
    <mergeCell ref="C1:F2"/>
    <mergeCell ref="D10:F10"/>
    <mergeCell ref="A57:C57"/>
    <mergeCell ref="D13:F13"/>
    <mergeCell ref="D11:F11"/>
    <mergeCell ref="B27:B29"/>
    <mergeCell ref="A30:A32"/>
    <mergeCell ref="B30:B32"/>
    <mergeCell ref="A36:A38"/>
    <mergeCell ref="A39:A41"/>
    <mergeCell ref="A42:A44"/>
    <mergeCell ref="A33:A35"/>
  </mergeCells>
  <phoneticPr fontId="4" type="noConversion"/>
  <conditionalFormatting sqref="D28:F28 D31:F31 D34:F34 D16:F16 D19:F19 E25:F25 D22:F22 F40">
    <cfRule type="expression" dxfId="10" priority="80">
      <formula>IF(D15="",0,1)</formula>
    </cfRule>
  </conditionalFormatting>
  <conditionalFormatting sqref="D40:E40">
    <cfRule type="expression" dxfId="9" priority="67">
      <formula>IF(D39="",0,1)</formula>
    </cfRule>
  </conditionalFormatting>
  <conditionalFormatting sqref="D46:E46 D49">
    <cfRule type="expression" dxfId="8" priority="66">
      <formula>IF(D45="",0,1)</formula>
    </cfRule>
  </conditionalFormatting>
  <conditionalFormatting sqref="D25">
    <cfRule type="expression" dxfId="7" priority="24">
      <formula>IF(D24="",0,1)</formula>
    </cfRule>
  </conditionalFormatting>
  <conditionalFormatting sqref="E37:F37">
    <cfRule type="expression" dxfId="6" priority="10">
      <formula>IF(E36="",0,1)</formula>
    </cfRule>
  </conditionalFormatting>
  <conditionalFormatting sqref="D43:F43">
    <cfRule type="expression" dxfId="5" priority="8">
      <formula>IF(D42="",0,1)</formula>
    </cfRule>
  </conditionalFormatting>
  <conditionalFormatting sqref="D37">
    <cfRule type="expression" dxfId="4" priority="5">
      <formula>IF(D36="",0,1)</formula>
    </cfRule>
  </conditionalFormatting>
  <conditionalFormatting sqref="F47">
    <cfRule type="expression" dxfId="3" priority="4">
      <formula>IF(F46="",0,1)</formula>
    </cfRule>
  </conditionalFormatting>
  <conditionalFormatting sqref="F46">
    <cfRule type="expression" dxfId="2" priority="3">
      <formula>IF(F45="",0,1)</formula>
    </cfRule>
  </conditionalFormatting>
  <conditionalFormatting sqref="F49">
    <cfRule type="expression" dxfId="1" priority="2">
      <formula>IF(F48="",0,1)</formula>
    </cfRule>
  </conditionalFormatting>
  <conditionalFormatting sqref="E49">
    <cfRule type="expression" dxfId="0" priority="1">
      <formula>IF(E48="",0,1)</formula>
    </cfRule>
  </conditionalFormatting>
  <pageMargins left="0.78740157480314965" right="0.19685039370078741" top="1.9685039370078741" bottom="0.78740157480314965" header="0.31496062992125984" footer="0.31496062992125984"/>
  <pageSetup paperSize="9" scale="4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I28" sqref="I28"/>
    </sheetView>
  </sheetViews>
  <sheetFormatPr defaultColWidth="21.42578125" defaultRowHeight="14.25" x14ac:dyDescent="0.2"/>
  <cols>
    <col min="1" max="1" width="16.5703125" style="164" customWidth="1"/>
    <col min="2" max="3" width="15.42578125" style="164" customWidth="1"/>
    <col min="4" max="4" width="16.28515625" style="164" customWidth="1"/>
    <col min="5" max="6" width="12.5703125" style="164" customWidth="1"/>
    <col min="7" max="7" width="14" style="164" customWidth="1"/>
    <col min="8" max="8" width="15.140625" style="164" customWidth="1"/>
    <col min="9" max="9" width="14.7109375" style="164" customWidth="1"/>
    <col min="10" max="10" width="18.7109375" style="164" customWidth="1"/>
    <col min="11" max="16384" width="21.42578125" style="67"/>
  </cols>
  <sheetData>
    <row r="1" spans="1:10" ht="15" customHeight="1" x14ac:dyDescent="0.2">
      <c r="A1" s="200"/>
      <c r="B1" s="201"/>
      <c r="C1" s="335" t="s">
        <v>73</v>
      </c>
      <c r="D1" s="336"/>
      <c r="E1" s="336"/>
      <c r="F1" s="336"/>
      <c r="G1" s="336"/>
      <c r="H1" s="336"/>
      <c r="I1" s="336"/>
      <c r="J1" s="337"/>
    </row>
    <row r="2" spans="1:10" x14ac:dyDescent="0.2">
      <c r="A2" s="202"/>
      <c r="B2" s="203"/>
      <c r="C2" s="338"/>
      <c r="D2" s="339"/>
      <c r="E2" s="339"/>
      <c r="F2" s="339"/>
      <c r="G2" s="339"/>
      <c r="H2" s="339"/>
      <c r="I2" s="339"/>
      <c r="J2" s="340"/>
    </row>
    <row r="3" spans="1:10" x14ac:dyDescent="0.2">
      <c r="A3" s="202"/>
      <c r="B3" s="203"/>
      <c r="C3" s="204" t="str">
        <f>ORÇAMENTO!C3</f>
        <v>SETOR</v>
      </c>
      <c r="D3" s="346" t="str">
        <f>ORÇAMENTO!D3</f>
        <v>SECRETARIA MUNICIPAL DE OBRAS</v>
      </c>
      <c r="E3" s="346"/>
      <c r="F3" s="346"/>
      <c r="G3" s="346"/>
      <c r="H3" s="346"/>
      <c r="I3" s="346"/>
      <c r="J3" s="347"/>
    </row>
    <row r="4" spans="1:10" x14ac:dyDescent="0.2">
      <c r="A4" s="205"/>
      <c r="B4" s="206"/>
      <c r="C4" s="204" t="str">
        <f>ORÇAMENTO!C4</f>
        <v>OBJETO</v>
      </c>
      <c r="D4" s="346" t="str">
        <f>ORÇAMENTO!D4</f>
        <v>CONSTRUÇÃO DE PRAÇA NO BAIRRO CONQUISTA</v>
      </c>
      <c r="E4" s="346"/>
      <c r="F4" s="346"/>
      <c r="G4" s="346"/>
      <c r="H4" s="346"/>
      <c r="I4" s="346"/>
      <c r="J4" s="347"/>
    </row>
    <row r="5" spans="1:10" x14ac:dyDescent="0.2">
      <c r="A5" s="207"/>
      <c r="B5" s="208"/>
      <c r="C5" s="204" t="str">
        <f>ORÇAMENTO!C5</f>
        <v>PROCESSO</v>
      </c>
      <c r="D5" s="346">
        <f>ORÇAMENTO!D5</f>
        <v>2022009671</v>
      </c>
      <c r="E5" s="346"/>
      <c r="F5" s="346"/>
      <c r="G5" s="346"/>
      <c r="H5" s="346"/>
      <c r="I5" s="346"/>
      <c r="J5" s="347"/>
    </row>
    <row r="6" spans="1:10" ht="30" customHeight="1" x14ac:dyDescent="0.2">
      <c r="A6" s="207"/>
      <c r="B6" s="208"/>
      <c r="C6" s="222" t="str">
        <f>ORÇAMENTO!C6</f>
        <v>ENDEREÇO</v>
      </c>
      <c r="D6" s="341" t="str">
        <f>ORÇAMENTO!D6</f>
        <v>ÁREA DE USO PÚBLICO APM-06, RUA C-17, ESQ. C/ RUA C-19 E RUA C-10, RESIDENCIAL CONQUISTA</v>
      </c>
      <c r="E6" s="341"/>
      <c r="F6" s="341"/>
      <c r="G6" s="341"/>
      <c r="H6" s="341"/>
      <c r="I6" s="341"/>
      <c r="J6" s="342"/>
    </row>
    <row r="7" spans="1:10" x14ac:dyDescent="0.2">
      <c r="A7" s="207"/>
      <c r="B7" s="208"/>
      <c r="C7" s="204" t="str">
        <f>ORÇAMENTO!C7</f>
        <v>TABELAS</v>
      </c>
      <c r="D7" s="346" t="str">
        <f>ORÇAMENTO!D7</f>
        <v>TABELA GOINFRA T161 - CUSTOS DE OBRAS CIVIS - JANEIRO/2022 - DESONERADA - DATA BASE: 01/01/2022</v>
      </c>
      <c r="E7" s="346"/>
      <c r="F7" s="346"/>
      <c r="G7" s="346"/>
      <c r="H7" s="346"/>
      <c r="I7" s="346"/>
      <c r="J7" s="347"/>
    </row>
    <row r="8" spans="1:10" s="221" customFormat="1" ht="28.5" customHeight="1" x14ac:dyDescent="0.2">
      <c r="A8" s="207"/>
      <c r="B8" s="208"/>
      <c r="C8" s="204"/>
      <c r="D8" s="323" t="str">
        <f>ORÇAMENTO!D8</f>
        <v>TABELA SINAPI PCI.818.01 - CUSTO DE COMPOSIÇÕES - SINTÉTITICO - FEVEREIRO/2022 - COM DESONERAÇÃO - DATA BASE: 14/03/2022</v>
      </c>
      <c r="E8" s="323"/>
      <c r="F8" s="323"/>
      <c r="G8" s="323"/>
      <c r="H8" s="323"/>
      <c r="I8" s="323"/>
      <c r="J8" s="324"/>
    </row>
    <row r="9" spans="1:10" s="221" customFormat="1" ht="26.25" customHeight="1" x14ac:dyDescent="0.2">
      <c r="A9" s="207"/>
      <c r="B9" s="208"/>
      <c r="C9" s="204"/>
      <c r="D9" s="323" t="str">
        <f>'MEMÓRIA DE CÁLCULO'!B9</f>
        <v>TABELA DE TERRAPLENAGEM, PAVIMENTAÇÃO E OBRAS DE ARTE ESPECIAIS - T163 - JAN/22 - COM DESONERAÇÃO - DATA BASE: 01/01/2022</v>
      </c>
      <c r="E9" s="323"/>
      <c r="F9" s="323"/>
      <c r="G9" s="323"/>
      <c r="H9" s="323"/>
      <c r="I9" s="323"/>
      <c r="J9" s="324"/>
    </row>
    <row r="10" spans="1:10" ht="15.75" customHeight="1" x14ac:dyDescent="0.2">
      <c r="A10" s="207"/>
      <c r="B10" s="208"/>
      <c r="C10" s="204"/>
      <c r="D10" s="323" t="str">
        <f>'MEMÓRIA DE CÁLCULO'!B10</f>
        <v>TABELA SIUB - COM DESONERAÇÃO - DATA BASE: 01/07/2021</v>
      </c>
      <c r="E10" s="323"/>
      <c r="F10" s="323"/>
      <c r="G10" s="323"/>
      <c r="H10" s="323"/>
      <c r="I10" s="323"/>
      <c r="J10" s="324"/>
    </row>
    <row r="11" spans="1:10" ht="15.75" customHeight="1" thickBot="1" x14ac:dyDescent="0.25">
      <c r="A11" s="209"/>
      <c r="B11" s="210"/>
      <c r="C11" s="211" t="str">
        <f>ORÇAMENTO!C11</f>
        <v xml:space="preserve">DATA </v>
      </c>
      <c r="D11" s="348" t="str">
        <f>ORÇAMENTO!D11</f>
        <v>28 DE MARÇO DE 2022</v>
      </c>
      <c r="E11" s="348"/>
      <c r="F11" s="348"/>
      <c r="G11" s="348"/>
      <c r="H11" s="348"/>
      <c r="I11" s="348"/>
      <c r="J11" s="349"/>
    </row>
    <row r="12" spans="1:10" x14ac:dyDescent="0.2">
      <c r="A12" s="343"/>
      <c r="B12" s="344"/>
      <c r="C12" s="344"/>
      <c r="D12" s="344"/>
      <c r="E12" s="344"/>
      <c r="F12" s="344"/>
      <c r="G12" s="344"/>
      <c r="H12" s="344"/>
      <c r="I12" s="344"/>
      <c r="J12" s="345"/>
    </row>
    <row r="13" spans="1:10" ht="25.5" x14ac:dyDescent="0.2">
      <c r="A13" s="212" t="s">
        <v>32</v>
      </c>
      <c r="B13" s="213" t="s">
        <v>33</v>
      </c>
      <c r="C13" s="213" t="s">
        <v>34</v>
      </c>
      <c r="D13" s="213" t="s">
        <v>35</v>
      </c>
      <c r="E13" s="213" t="s">
        <v>36</v>
      </c>
      <c r="F13" s="213" t="s">
        <v>37</v>
      </c>
      <c r="G13" s="213" t="s">
        <v>38</v>
      </c>
      <c r="H13" s="213" t="s">
        <v>39</v>
      </c>
      <c r="I13" s="213" t="s">
        <v>40</v>
      </c>
      <c r="J13" s="214" t="s">
        <v>41</v>
      </c>
    </row>
    <row r="14" spans="1:10" ht="15" thickBot="1" x14ac:dyDescent="0.25">
      <c r="A14" s="215">
        <v>3</v>
      </c>
      <c r="B14" s="216">
        <v>6.16</v>
      </c>
      <c r="C14" s="216">
        <v>0.28000000000000003</v>
      </c>
      <c r="D14" s="216">
        <v>0.12</v>
      </c>
      <c r="E14" s="216">
        <v>0.97</v>
      </c>
      <c r="F14" s="216">
        <v>2.4</v>
      </c>
      <c r="G14" s="216">
        <v>0.65</v>
      </c>
      <c r="H14" s="216">
        <v>3</v>
      </c>
      <c r="I14" s="216">
        <v>4.5</v>
      </c>
      <c r="J14" s="217">
        <v>23.88</v>
      </c>
    </row>
    <row r="15" spans="1:10" x14ac:dyDescent="0.2">
      <c r="A15" s="165" t="s">
        <v>42</v>
      </c>
      <c r="B15" s="166"/>
      <c r="C15" s="166"/>
      <c r="D15" s="166"/>
      <c r="E15" s="166"/>
      <c r="F15" s="166"/>
      <c r="G15" s="166"/>
      <c r="H15" s="166"/>
      <c r="I15" s="166"/>
      <c r="J15" s="167"/>
    </row>
    <row r="16" spans="1:10" x14ac:dyDescent="0.2">
      <c r="A16" s="89"/>
      <c r="B16" s="87"/>
      <c r="C16" s="87"/>
      <c r="D16" s="169"/>
      <c r="E16" s="160"/>
      <c r="F16" s="199"/>
      <c r="G16" s="218"/>
      <c r="H16" s="219"/>
      <c r="I16" s="169"/>
      <c r="J16" s="170"/>
    </row>
    <row r="17" spans="1:10" x14ac:dyDescent="0.2">
      <c r="A17" s="89"/>
      <c r="B17" s="87"/>
      <c r="C17" s="87"/>
      <c r="D17" s="169"/>
      <c r="E17" s="160"/>
      <c r="F17" s="199"/>
      <c r="G17" s="218"/>
      <c r="H17" s="219"/>
      <c r="I17" s="169"/>
      <c r="J17" s="170"/>
    </row>
    <row r="18" spans="1:10" x14ac:dyDescent="0.2">
      <c r="A18" s="89"/>
      <c r="B18" s="87"/>
      <c r="C18" s="87"/>
      <c r="D18" s="169"/>
      <c r="E18" s="160"/>
      <c r="F18" s="199"/>
      <c r="G18" s="218"/>
      <c r="H18" s="219"/>
      <c r="I18" s="169"/>
      <c r="J18" s="170"/>
    </row>
    <row r="19" spans="1:10" ht="15" customHeight="1" x14ac:dyDescent="0.2">
      <c r="A19" s="276" t="s">
        <v>287</v>
      </c>
      <c r="B19" s="277"/>
      <c r="C19" s="277"/>
      <c r="D19" s="277"/>
      <c r="E19" s="277"/>
      <c r="F19" s="277"/>
      <c r="G19" s="277"/>
      <c r="H19" s="277"/>
      <c r="I19" s="277"/>
      <c r="J19" s="278"/>
    </row>
    <row r="20" spans="1:10" ht="15" customHeight="1" x14ac:dyDescent="0.2">
      <c r="A20" s="287" t="s">
        <v>288</v>
      </c>
      <c r="B20" s="288"/>
      <c r="C20" s="288"/>
      <c r="D20" s="288"/>
      <c r="E20" s="288"/>
      <c r="F20" s="288"/>
      <c r="G20" s="288"/>
      <c r="H20" s="288"/>
      <c r="I20" s="288"/>
      <c r="J20" s="289"/>
    </row>
    <row r="21" spans="1:10" ht="15" customHeight="1" x14ac:dyDescent="0.2">
      <c r="A21" s="276" t="s">
        <v>289</v>
      </c>
      <c r="B21" s="277"/>
      <c r="C21" s="277"/>
      <c r="D21" s="277"/>
      <c r="E21" s="277"/>
      <c r="F21" s="277"/>
      <c r="G21" s="277"/>
      <c r="H21" s="277"/>
      <c r="I21" s="277"/>
      <c r="J21" s="278"/>
    </row>
    <row r="22" spans="1:10" ht="15.75" customHeight="1" thickBot="1" x14ac:dyDescent="0.25">
      <c r="A22" s="290" t="s">
        <v>290</v>
      </c>
      <c r="B22" s="291"/>
      <c r="C22" s="291"/>
      <c r="D22" s="291"/>
      <c r="E22" s="291"/>
      <c r="F22" s="291"/>
      <c r="G22" s="291"/>
      <c r="H22" s="291"/>
      <c r="I22" s="291"/>
      <c r="J22" s="292"/>
    </row>
  </sheetData>
  <sheetProtection algorithmName="SHA-512" hashValue="pvcUBuGxfNB6B8RafgM2ScMuyfKgx7Fn8+gVsYUEkWULa97JTE5WJ0X7V9KqO/Cn+FV7AyjYZdq4H58lhXH/8Q==" saltValue="6mVsck6rdwPtRCayQAnpNg==" spinCount="100000" sheet="1" objects="1" scenarios="1"/>
  <mergeCells count="15">
    <mergeCell ref="A19:J19"/>
    <mergeCell ref="A20:J20"/>
    <mergeCell ref="A21:J21"/>
    <mergeCell ref="A22:J22"/>
    <mergeCell ref="C1:J2"/>
    <mergeCell ref="D6:J6"/>
    <mergeCell ref="A12:J12"/>
    <mergeCell ref="D3:J3"/>
    <mergeCell ref="D4:J4"/>
    <mergeCell ref="D5:J5"/>
    <mergeCell ref="D7:J7"/>
    <mergeCell ref="D8:J8"/>
    <mergeCell ref="D9:J9"/>
    <mergeCell ref="D11:J11"/>
    <mergeCell ref="D10:J10"/>
  </mergeCells>
  <pageMargins left="0.51181102362204722" right="0.51181102362204722" top="1.9685039370078741" bottom="0.78740157480314965" header="0.31496062992125984" footer="0.31496062992125984"/>
  <pageSetup paperSize="9"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ORÇAMENTO</vt:lpstr>
      <vt:lpstr>MEMÓRIA DE CÁLCULO</vt:lpstr>
      <vt:lpstr>CRONOGRAMA</vt:lpstr>
      <vt:lpstr>BDI (23,88%)</vt:lpstr>
      <vt:lpstr>VALOR_TOTAL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2022-03-25T19:59:55Z</dcterms:modified>
</cp:coreProperties>
</file>