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909559c73102cec3/Secretaria Municipal de Educação Catalão/2 - Processos em Andamento/TELHADOS/TELHADO - NILDA MARGON/"/>
    </mc:Choice>
  </mc:AlternateContent>
  <xr:revisionPtr revIDLastSave="55" documentId="13_ncr:1_{9B08CD96-E335-4430-B211-BCA1DEBACF39}" xr6:coauthVersionLast="47" xr6:coauthVersionMax="47" xr10:uidLastSave="{A9937DE7-AA08-4E2B-8C82-41ABD3D28261}"/>
  <bookViews>
    <workbookView xWindow="-120" yWindow="-120" windowWidth="20730" windowHeight="11160" tabRatio="507" firstSheet="1" activeTab="1" xr2:uid="{00000000-000D-0000-FFFF-FFFF00000000}"/>
  </bookViews>
  <sheets>
    <sheet name="MEMÓRIA DE CÁLCULO" sheetId="6" r:id="rId1"/>
    <sheet name="ORÇAMENTO " sheetId="5" r:id="rId2"/>
    <sheet name="CRONOGRAMA" sheetId="9" r:id="rId3"/>
    <sheet name="Composição BDI" sheetId="11" r:id="rId4"/>
  </sheets>
  <definedNames>
    <definedName name="_xlnm.Print_Area" localSheetId="2">CRONOGRAMA!$B$1:$J$25</definedName>
    <definedName name="_xlnm.Print_Area" localSheetId="0">'MEMÓRIA DE CÁLCULO'!$B$1:$H$201</definedName>
    <definedName name="_xlnm.Print_Area" localSheetId="1">'ORÇAMENTO '!$B$2:$J$94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5" l="1"/>
  <c r="E84" i="5"/>
  <c r="H196" i="6"/>
  <c r="H195" i="6"/>
  <c r="G84" i="5" s="1"/>
  <c r="D43" i="5"/>
  <c r="E43" i="5"/>
  <c r="F43" i="5"/>
  <c r="H88" i="6"/>
  <c r="H87" i="6" s="1"/>
  <c r="G43" i="5" s="1"/>
  <c r="D19" i="5"/>
  <c r="E19" i="5"/>
  <c r="F19" i="5"/>
  <c r="H51" i="6"/>
  <c r="H50" i="6" s="1"/>
  <c r="G19" i="5" s="1"/>
  <c r="J19" i="9" l="1"/>
  <c r="J18" i="9" l="1"/>
  <c r="J15" i="9"/>
  <c r="J16" i="9"/>
  <c r="J17" i="9"/>
  <c r="J20" i="9"/>
  <c r="J9" i="9"/>
  <c r="J8" i="9"/>
  <c r="J13" i="9"/>
  <c r="J11" i="9"/>
  <c r="J12" i="9"/>
  <c r="J10" i="9"/>
  <c r="J14" i="9"/>
  <c r="H49" i="6" l="1"/>
  <c r="H184" i="6"/>
  <c r="H183" i="6"/>
  <c r="H182" i="6" s="1"/>
  <c r="G74" i="5" s="1"/>
  <c r="J72" i="5" s="1"/>
  <c r="D18" i="9" s="1"/>
  <c r="E60" i="6"/>
  <c r="D60" i="6"/>
  <c r="D42" i="5"/>
  <c r="E42" i="5"/>
  <c r="F42" i="5"/>
  <c r="H86" i="6"/>
  <c r="H85" i="6" s="1"/>
  <c r="G42" i="5" s="1"/>
  <c r="E83" i="5"/>
  <c r="D83" i="5"/>
  <c r="F74" i="5"/>
  <c r="E74" i="5"/>
  <c r="D74" i="5"/>
  <c r="D32" i="5"/>
  <c r="E32" i="5"/>
  <c r="F32" i="5"/>
  <c r="D33" i="5"/>
  <c r="E33" i="5"/>
  <c r="F33" i="5"/>
  <c r="F31" i="5"/>
  <c r="E31" i="5"/>
  <c r="D31" i="5"/>
  <c r="H194" i="6"/>
  <c r="H193" i="6" s="1"/>
  <c r="G83" i="5" s="1"/>
  <c r="H72" i="6"/>
  <c r="H71" i="6" s="1"/>
  <c r="G33" i="5" s="1"/>
  <c r="H70" i="6"/>
  <c r="H69" i="6" s="1"/>
  <c r="G32" i="5" s="1"/>
  <c r="H68" i="6"/>
  <c r="H67" i="6" s="1"/>
  <c r="G31" i="5" s="1"/>
  <c r="D18" i="5"/>
  <c r="E18" i="5"/>
  <c r="F18" i="5"/>
  <c r="H48" i="6"/>
  <c r="F179" i="6"/>
  <c r="H179" i="6" s="1"/>
  <c r="F178" i="6"/>
  <c r="H178" i="6" s="1"/>
  <c r="H177" i="6"/>
  <c r="F176" i="6"/>
  <c r="H176" i="6" s="1"/>
  <c r="H175" i="6"/>
  <c r="F174" i="6"/>
  <c r="H174" i="6" s="1"/>
  <c r="F173" i="6"/>
  <c r="H173" i="6" s="1"/>
  <c r="F171" i="6"/>
  <c r="H171" i="6" s="1"/>
  <c r="F170" i="6"/>
  <c r="H170" i="6" s="1"/>
  <c r="H169" i="6"/>
  <c r="F168" i="6"/>
  <c r="H168" i="6" s="1"/>
  <c r="H167" i="6"/>
  <c r="F166" i="6"/>
  <c r="H166" i="6" s="1"/>
  <c r="F165" i="6"/>
  <c r="H165" i="6" s="1"/>
  <c r="F163" i="6"/>
  <c r="H163" i="6" s="1"/>
  <c r="F162" i="6"/>
  <c r="H162" i="6" s="1"/>
  <c r="H161" i="6"/>
  <c r="F160" i="6"/>
  <c r="H160" i="6" s="1"/>
  <c r="H159" i="6"/>
  <c r="F158" i="6"/>
  <c r="H158" i="6" s="1"/>
  <c r="F157" i="6"/>
  <c r="H157" i="6" s="1"/>
  <c r="H97" i="6"/>
  <c r="H95" i="6"/>
  <c r="J81" i="5" l="1"/>
  <c r="J29" i="5"/>
  <c r="D11" i="9" s="1"/>
  <c r="H47" i="6"/>
  <c r="H103" i="6"/>
  <c r="H102" i="6" s="1"/>
  <c r="F51" i="5"/>
  <c r="E51" i="5"/>
  <c r="D51" i="5"/>
  <c r="F27" i="5"/>
  <c r="E27" i="5"/>
  <c r="D27" i="5"/>
  <c r="H64" i="6"/>
  <c r="H63" i="6" s="1"/>
  <c r="G27" i="5" s="1"/>
  <c r="J25" i="5" s="1"/>
  <c r="D10" i="9" s="1"/>
  <c r="H164" i="6"/>
  <c r="F150" i="6"/>
  <c r="H153" i="6"/>
  <c r="H148" i="6"/>
  <c r="F96" i="6"/>
  <c r="H96" i="6" s="1"/>
  <c r="H143" i="6"/>
  <c r="H42" i="6"/>
  <c r="D41" i="5"/>
  <c r="E41" i="5"/>
  <c r="F41" i="5"/>
  <c r="H84" i="6"/>
  <c r="H83" i="6" s="1"/>
  <c r="G41" i="5" s="1"/>
  <c r="D40" i="5"/>
  <c r="F40" i="5"/>
  <c r="D81" i="6"/>
  <c r="E40" i="5" s="1"/>
  <c r="H82" i="6"/>
  <c r="H81" i="6" s="1"/>
  <c r="G40" i="5" s="1"/>
  <c r="D38" i="5"/>
  <c r="E38" i="5"/>
  <c r="F38" i="5"/>
  <c r="D39" i="5"/>
  <c r="E39" i="5"/>
  <c r="F39" i="5"/>
  <c r="F37" i="5"/>
  <c r="E37" i="5"/>
  <c r="D37" i="5"/>
  <c r="H76" i="6"/>
  <c r="H75" i="6" s="1"/>
  <c r="H80" i="6"/>
  <c r="H79" i="6" s="1"/>
  <c r="G39" i="5" s="1"/>
  <c r="H78" i="6"/>
  <c r="H77" i="6" s="1"/>
  <c r="G38" i="5" s="1"/>
  <c r="D20" i="9" l="1"/>
  <c r="G18" i="5"/>
  <c r="F60" i="6"/>
  <c r="H60" i="6" s="1"/>
  <c r="G37" i="5"/>
  <c r="H117" i="6" l="1"/>
  <c r="H41" i="6"/>
  <c r="F188" i="6"/>
  <c r="H150" i="6"/>
  <c r="D63" i="5"/>
  <c r="E63" i="5"/>
  <c r="F63" i="5"/>
  <c r="D64" i="5"/>
  <c r="E64" i="5"/>
  <c r="F64" i="5"/>
  <c r="F152" i="6"/>
  <c r="H152" i="6" s="1"/>
  <c r="F151" i="6"/>
  <c r="H151" i="6" s="1"/>
  <c r="F149" i="6"/>
  <c r="H149" i="6" s="1"/>
  <c r="H130" i="6"/>
  <c r="H131" i="6"/>
  <c r="H132" i="6"/>
  <c r="H128" i="6"/>
  <c r="H125" i="6"/>
  <c r="H126" i="6"/>
  <c r="H147" i="6" l="1"/>
  <c r="G64" i="5" s="1"/>
  <c r="D69" i="5"/>
  <c r="E69" i="5"/>
  <c r="F69" i="5"/>
  <c r="D70" i="5"/>
  <c r="E70" i="5"/>
  <c r="F70" i="5"/>
  <c r="F68" i="5"/>
  <c r="E68" i="5"/>
  <c r="D68" i="5"/>
  <c r="J35" i="5" l="1"/>
  <c r="D12" i="9" s="1"/>
  <c r="G121" i="6"/>
  <c r="F62" i="5"/>
  <c r="F61" i="5"/>
  <c r="F60" i="5"/>
  <c r="F14" i="5"/>
  <c r="F15" i="5"/>
  <c r="F16" i="5"/>
  <c r="F17" i="5"/>
  <c r="F13" i="5"/>
  <c r="D16" i="5"/>
  <c r="E16" i="5"/>
  <c r="D17" i="5"/>
  <c r="E17" i="5"/>
  <c r="F190" i="6"/>
  <c r="F99" i="6"/>
  <c r="H99" i="6" s="1"/>
  <c r="F98" i="6"/>
  <c r="H98" i="6" s="1"/>
  <c r="F94" i="6"/>
  <c r="H94" i="6" s="1"/>
  <c r="F93" i="6"/>
  <c r="H93" i="6" s="1"/>
  <c r="H92" i="6"/>
  <c r="H57" i="6"/>
  <c r="D59" i="6"/>
  <c r="D58" i="6"/>
  <c r="F46" i="6"/>
  <c r="H46" i="6" s="1"/>
  <c r="F45" i="6"/>
  <c r="H45" i="6" s="1"/>
  <c r="F44" i="6"/>
  <c r="H44" i="6" s="1"/>
  <c r="H137" i="6"/>
  <c r="H136" i="6"/>
  <c r="H135" i="6"/>
  <c r="H134" i="6"/>
  <c r="H129" i="6"/>
  <c r="H116" i="6"/>
  <c r="H115" i="6"/>
  <c r="H114" i="6"/>
  <c r="H110" i="6"/>
  <c r="F36" i="6"/>
  <c r="H142" i="6"/>
  <c r="H33" i="6"/>
  <c r="H32" i="6"/>
  <c r="H112" i="6"/>
  <c r="H111" i="6"/>
  <c r="H109" i="6"/>
  <c r="H108" i="6"/>
  <c r="H107" i="6"/>
  <c r="H38" i="6"/>
  <c r="H25" i="6"/>
  <c r="H24" i="6"/>
  <c r="H27" i="6"/>
  <c r="H18" i="6"/>
  <c r="H144" i="6"/>
  <c r="H145" i="6"/>
  <c r="H146" i="6"/>
  <c r="F140" i="6"/>
  <c r="F139" i="6"/>
  <c r="F19" i="6"/>
  <c r="H106" i="6" l="1"/>
  <c r="H113" i="6"/>
  <c r="G69" i="5"/>
  <c r="H172" i="6"/>
  <c r="G70" i="5" s="1"/>
  <c r="H156" i="6"/>
  <c r="G68" i="5" s="1"/>
  <c r="H133" i="6"/>
  <c r="H91" i="6"/>
  <c r="H43" i="6"/>
  <c r="H127" i="6"/>
  <c r="H39" i="6"/>
  <c r="H40" i="6"/>
  <c r="G19" i="6"/>
  <c r="H36" i="6"/>
  <c r="H37" i="6"/>
  <c r="F35" i="6"/>
  <c r="G124" i="6"/>
  <c r="G123" i="6"/>
  <c r="F124" i="6"/>
  <c r="F123" i="6"/>
  <c r="G122" i="6"/>
  <c r="F122" i="6"/>
  <c r="F121" i="6"/>
  <c r="H121" i="6" s="1"/>
  <c r="E23" i="5"/>
  <c r="J66" i="5" l="1"/>
  <c r="D17" i="9" s="1"/>
  <c r="H122" i="6"/>
  <c r="H124" i="6"/>
  <c r="H123" i="6"/>
  <c r="F59" i="6"/>
  <c r="H59" i="6" s="1"/>
  <c r="G17" i="5"/>
  <c r="H35" i="6"/>
  <c r="H34" i="6" s="1"/>
  <c r="H28" i="6"/>
  <c r="H29" i="6"/>
  <c r="H30" i="6"/>
  <c r="H31" i="6"/>
  <c r="H23" i="6"/>
  <c r="H22" i="6"/>
  <c r="H20" i="6"/>
  <c r="H15" i="6"/>
  <c r="H14" i="6"/>
  <c r="H21" i="6"/>
  <c r="H120" i="6" l="1"/>
  <c r="G51" i="5" s="1"/>
  <c r="J49" i="5" s="1"/>
  <c r="D14" i="9" s="1"/>
  <c r="F58" i="6"/>
  <c r="H58" i="6" s="1"/>
  <c r="G16" i="5"/>
  <c r="H26" i="6"/>
  <c r="H19" i="6"/>
  <c r="H17" i="6" s="1"/>
  <c r="H190" i="6"/>
  <c r="H189" i="6" s="1"/>
  <c r="H188" i="6"/>
  <c r="H187" i="6" s="1"/>
  <c r="D56" i="5" l="1"/>
  <c r="E56" i="5"/>
  <c r="G56" i="5"/>
  <c r="D62" i="5" l="1"/>
  <c r="E62" i="5"/>
  <c r="G79" i="5"/>
  <c r="G78" i="5"/>
  <c r="E79" i="5"/>
  <c r="E78" i="5"/>
  <c r="D79" i="5"/>
  <c r="D78" i="5"/>
  <c r="E61" i="5"/>
  <c r="E60" i="5"/>
  <c r="D61" i="5"/>
  <c r="D60" i="5"/>
  <c r="E55" i="5"/>
  <c r="D55" i="5"/>
  <c r="E47" i="5"/>
  <c r="D47" i="5"/>
  <c r="D23" i="5"/>
  <c r="G14" i="5"/>
  <c r="E14" i="5"/>
  <c r="E15" i="5"/>
  <c r="E13" i="5"/>
  <c r="D14" i="5"/>
  <c r="D15" i="5"/>
  <c r="D13" i="5"/>
  <c r="H141" i="6" l="1"/>
  <c r="H140" i="6"/>
  <c r="H139" i="6"/>
  <c r="H138" i="6" l="1"/>
  <c r="G63" i="5" s="1"/>
  <c r="G62" i="5"/>
  <c r="G60" i="5"/>
  <c r="G61" i="5"/>
  <c r="G55" i="5" l="1"/>
  <c r="J53" i="5" s="1"/>
  <c r="G47" i="5"/>
  <c r="J45" i="5" s="1"/>
  <c r="D13" i="9" s="1"/>
  <c r="J58" i="5"/>
  <c r="D15" i="9" l="1"/>
  <c r="D16" i="9" l="1"/>
  <c r="J76" i="5"/>
  <c r="H56" i="6"/>
  <c r="H55" i="6"/>
  <c r="D19" i="9" l="1"/>
  <c r="H54" i="6"/>
  <c r="G23" i="5"/>
  <c r="H16" i="6" l="1"/>
  <c r="H13" i="6"/>
  <c r="H12" i="6" l="1"/>
  <c r="G13" i="5" l="1"/>
  <c r="E21" i="11" l="1"/>
  <c r="D20" i="11"/>
  <c r="E18" i="11"/>
  <c r="E17" i="11"/>
  <c r="E16" i="11"/>
  <c r="E15" i="11"/>
  <c r="D14" i="11"/>
  <c r="E14" i="11" s="1"/>
  <c r="E12" i="11"/>
  <c r="E11" i="11"/>
  <c r="E10" i="11"/>
  <c r="E9" i="11"/>
  <c r="D8" i="11"/>
  <c r="E20" i="11" l="1"/>
  <c r="D23" i="11"/>
  <c r="G15" i="5" l="1"/>
  <c r="J11" i="5" l="1"/>
  <c r="D8" i="9" s="1"/>
  <c r="J21" i="5"/>
  <c r="J86" i="5" s="1"/>
  <c r="J87" i="5" l="1"/>
  <c r="J88" i="5" s="1"/>
  <c r="D9" i="9"/>
  <c r="I21" i="9" l="1" a="1"/>
  <c r="I21" i="9" s="1"/>
  <c r="I22" i="9" s="1"/>
  <c r="H21" i="9" a="1"/>
  <c r="H21" i="9" s="1"/>
  <c r="H22" i="9" s="1"/>
  <c r="G21" i="9" a="1"/>
  <c r="G21" i="9" s="1"/>
  <c r="G22" i="9" s="1"/>
  <c r="F21" i="9" a="1"/>
  <c r="F21" i="9" s="1"/>
  <c r="F22" i="9" s="1"/>
  <c r="D21" i="9"/>
  <c r="E19" i="9" l="1"/>
  <c r="D22" i="9"/>
  <c r="H23" i="9" s="1"/>
  <c r="E18" i="9"/>
  <c r="E10" i="9"/>
  <c r="E11" i="9"/>
  <c r="E12" i="9"/>
  <c r="E17" i="9"/>
  <c r="E14" i="9"/>
  <c r="E13" i="9"/>
  <c r="E15" i="9"/>
  <c r="E20" i="9"/>
  <c r="E16" i="9"/>
  <c r="E9" i="9"/>
  <c r="E8" i="9"/>
  <c r="F24" i="9"/>
  <c r="G24" i="9" s="1"/>
  <c r="H24" i="9" s="1"/>
  <c r="I24" i="9" s="1"/>
  <c r="I23" i="9" l="1"/>
  <c r="E21" i="9"/>
  <c r="F23" i="9"/>
  <c r="F25" i="9" s="1"/>
  <c r="G23" i="9"/>
  <c r="G25" i="9" l="1"/>
  <c r="H25" i="9" s="1"/>
  <c r="I25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<sst xmlns="http://schemas.openxmlformats.org/spreadsheetml/2006/main" count="680" uniqueCount="269">
  <si>
    <t xml:space="preserve"> </t>
  </si>
  <si>
    <t>SECRETARIA MUNICIPAL DE EDUCAÇÃO</t>
  </si>
  <si>
    <t>DEMOLIÇÃO E CONSTRUÇÃO DE UM NOVO TELHADO - NILDA MARGON VAZ</t>
  </si>
  <si>
    <t>Avenida José Marcelino, S/n°, Castelo Branco</t>
  </si>
  <si>
    <t>TABELA GOINFRA 155 - CUSTO DE OBRAS CIVIS - OUTUBRO/2021 - DESONERADA</t>
  </si>
  <si>
    <t>MEMÓRIA DE CÁLCULO</t>
  </si>
  <si>
    <t>ITEM</t>
  </si>
  <si>
    <t xml:space="preserve">CÓDIGO </t>
  </si>
  <si>
    <t>UNID.</t>
  </si>
  <si>
    <t>GRUPO DE SERVIÇO: SERVIÇOS PRELIMINARES</t>
  </si>
  <si>
    <t>SERVIÇOS PRELIMINARES</t>
  </si>
  <si>
    <t>TOTAL</t>
  </si>
  <si>
    <t>1.1</t>
  </si>
  <si>
    <t>DEMOLICAO COBERTURA TELHA CERAMICA C/ TRANSP. ATÉ CB. E CARGA</t>
  </si>
  <si>
    <t>m²</t>
  </si>
  <si>
    <t>COMPRIMENTO  (M)</t>
  </si>
  <si>
    <t>LARGURA (M)</t>
  </si>
  <si>
    <t>Bloco 02</t>
  </si>
  <si>
    <t>Bloco 04 - reparo de 20%</t>
  </si>
  <si>
    <t>Bloco 06</t>
  </si>
  <si>
    <t>Bloco 07</t>
  </si>
  <si>
    <t>1.2</t>
  </si>
  <si>
    <t>DEMOLICAO-COBERTURA TELHA FIBROCIMENTO/FIBRA DE VIDRO/SIMILARES C/ TRANSP. ATÉ CB. E CARGA</t>
  </si>
  <si>
    <t>Bloco 01</t>
  </si>
  <si>
    <t>Area 03</t>
  </si>
  <si>
    <t>Area 05</t>
  </si>
  <si>
    <t>Area 08</t>
  </si>
  <si>
    <t>Area 09</t>
  </si>
  <si>
    <t>Bloco 10</t>
  </si>
  <si>
    <t>AE 1</t>
  </si>
  <si>
    <t>AE 2</t>
  </si>
  <si>
    <t>1.3</t>
  </si>
  <si>
    <t>DEMOLIÇÃO MANUAL ESTRUTURA EM MADEIRA TELHADO C/ TRANSP. ATÉ CB. E CARGA</t>
  </si>
  <si>
    <t>1.4</t>
  </si>
  <si>
    <t>DEMOLIÇÃO MANUAL DE CALHA/RUFO EM CHAPA C/TR.ATÉ CB. E CARGA</t>
  </si>
  <si>
    <t xml:space="preserve">Area 09 </t>
  </si>
  <si>
    <t>15506 SIURB</t>
  </si>
  <si>
    <t>RETIRADA DE ESTRUTURA METÁLICA INCLUSIVE PERFIS DE FIXAÇÃO</t>
  </si>
  <si>
    <t>kg</t>
  </si>
  <si>
    <t>GRUPO DE SERVIÇO: 165 - TRANSPORTES</t>
  </si>
  <si>
    <t>TRANSPORTES</t>
  </si>
  <si>
    <t>2.1</t>
  </si>
  <si>
    <t>AREA (M²)</t>
  </si>
  <si>
    <t>ESPESSURA (M)</t>
  </si>
  <si>
    <t>DEMOLIÇÃO ESTRUTURA EM MADEIRA TELHADO C/ TRANSP. ATÉ CB. E CARGA</t>
  </si>
  <si>
    <t xml:space="preserve">GRUPO DE SERVIÇO: 172 - ALVENARIA E DIVISÓRIA </t>
  </si>
  <si>
    <t>ALVENARIA E DIVISÓRIA</t>
  </si>
  <si>
    <t xml:space="preserve"> TOTAL</t>
  </si>
  <si>
    <t>ALVENARIA DE TIJOLO FURADO 1/2 VEZ 14X29X9 - 6 FUROS - ARG. (1CALH:4ARML+100KG DE CI/M3)</t>
  </si>
  <si>
    <t>GRUPO DE SERVIÇO: 176 - ESTRUTURA DE MADEIRAS</t>
  </si>
  <si>
    <t>ESTRUTURA DE MADEIRA</t>
  </si>
  <si>
    <t>100384 SINAPI</t>
  </si>
  <si>
    <t>FABRICAÇÃO E INSTALAÇÃO DE PONTALETES DE MADEIRA NÃO APARELHADA PARA TELHA DOS COM ATÉ 2 ÁGUAS E COM TELHA ONDULADA DE FIBROCIMENTO, ALUMÍNIO OU PLÁS TICA EM EDIFÍCIO INSTITUCIONAL TÉRREO, INCLUSO TRANSPORTE VERTICAL</t>
  </si>
  <si>
    <t>COMPRIMENTO (M)</t>
  </si>
  <si>
    <t>GRUPO DE SERVIÇO: 178 - COBERTURA</t>
  </si>
  <si>
    <t>COBERTURAS</t>
  </si>
  <si>
    <t>COBERTURA COM TELHA ONDULADA OU EQUIV.</t>
  </si>
  <si>
    <t>COBERTURA COM TELHA PLAN RESINADA COR VERMELHA</t>
  </si>
  <si>
    <t>SINAPI 94228</t>
  </si>
  <si>
    <t>CALHA EM CHAPA DE AÇO GALVANIZADO NÚMERO 24, DESENVOLVIMENTO DE 50 CM, INCLUSO TRANSPORTE VERTICAL.</t>
  </si>
  <si>
    <t>m</t>
  </si>
  <si>
    <t>GRUPO DE SERVIÇO: 187 - ADMINISTRAÇÃO - MENSALISTAS</t>
  </si>
  <si>
    <t>ADMINISTRAÇÃO - MENSALISTAS</t>
  </si>
  <si>
    <t>ENGENHEIRO - OBRAS CIVIS</t>
  </si>
  <si>
    <t>H</t>
  </si>
  <si>
    <t>TEMPO</t>
  </si>
  <si>
    <t>h</t>
  </si>
  <si>
    <t>ENCARREGADO - (OBRAS CIVIS)</t>
  </si>
  <si>
    <t>8 horas por dia</t>
  </si>
  <si>
    <t>Elaborado por:</t>
  </si>
  <si>
    <t>________________________________</t>
  </si>
  <si>
    <t>PREFEITURA MUNICIPAL DE CATALÃO</t>
  </si>
  <si>
    <t>Avenida José Marcelino, s/n°, Castelo Branco</t>
  </si>
  <si>
    <t xml:space="preserve">PLANILHA ORÇAMENTÁRIA </t>
  </si>
  <si>
    <t>TABELA</t>
  </si>
  <si>
    <t xml:space="preserve">CÓD. </t>
  </si>
  <si>
    <t xml:space="preserve">DESCRIÇÃO </t>
  </si>
  <si>
    <t>QUANTIDADE</t>
  </si>
  <si>
    <t>MATERIAL</t>
  </si>
  <si>
    <t>MÃO DE OBRA</t>
  </si>
  <si>
    <t>GRUPO DE SERVIÇO 164: SERVIÇOS PRELIMINARES</t>
  </si>
  <si>
    <t>GOINFRA</t>
  </si>
  <si>
    <t>GRUPO DE SERVIÇO 165: TRANSPORTES</t>
  </si>
  <si>
    <t>m³</t>
  </si>
  <si>
    <t>GRUPO DE SERVIÇO 172: ALVENARIAS E DIVISÓRIAS</t>
  </si>
  <si>
    <t>ALVENARIAS E DIVISÓRIAS</t>
  </si>
  <si>
    <t>GRUPO DE SERVIÇO 176: ESTRUTURAS DE MADEIRA</t>
  </si>
  <si>
    <t>ESTRUTURAS DE MADEIRA</t>
  </si>
  <si>
    <t>SINAPI</t>
  </si>
  <si>
    <t>GRUPO DE SERVIÇO 178: COBERTURAS</t>
  </si>
  <si>
    <t>GRUPO DE SERVIÇO 187: ADMINISTRAÇÃO - MENSALISTAS</t>
  </si>
  <si>
    <t>TOTAIS</t>
  </si>
  <si>
    <t>TOTAL :</t>
  </si>
  <si>
    <t>BDI (23,88):</t>
  </si>
  <si>
    <t>TOTAL COM BDI :</t>
  </si>
  <si>
    <t>Aprovado por:</t>
  </si>
  <si>
    <t>Leonardo Pereira Santa Cecília</t>
  </si>
  <si>
    <t>Secretário Municipal de Educação</t>
  </si>
  <si>
    <t xml:space="preserve">                        PREFEITURA MUNICIPAL DE CATALÃO</t>
  </si>
  <si>
    <t>DEMOLIÇÃO E CONSTRUÇÃO DE UM NOVO TELHADO -  NILDA MARGON VAZ</t>
  </si>
  <si>
    <t>CRONOGRAMA FÍSICO-FINANCEIRO</t>
  </si>
  <si>
    <t>MÊS</t>
  </si>
  <si>
    <t>GRUPO DE SERVIÇO</t>
  </si>
  <si>
    <t>Valor da etapa</t>
  </si>
  <si>
    <t>% da obra</t>
  </si>
  <si>
    <t>INSTALAÇÃO HIDROSSANITÁRIA</t>
  </si>
  <si>
    <t>REVESTIMENTO DE PAREDE</t>
  </si>
  <si>
    <t>ADMINISTRAÇÃO - MENSALISTA</t>
  </si>
  <si>
    <t>Total</t>
  </si>
  <si>
    <t>Total c/ BDI</t>
  </si>
  <si>
    <t>PORCENTAGEM</t>
  </si>
  <si>
    <t>TOTAL ACUMULADO</t>
  </si>
  <si>
    <t>PORCENTAGEM CONCLUÍDA</t>
  </si>
  <si>
    <t>SECRETARIA MUNICIPAL DE OBRAS</t>
  </si>
  <si>
    <t>COMPOSIÇÃO ANALÍTICA DA TAXA DE BONIFICAÇÃO E DESPESAS INDIRETAS (BDI)</t>
  </si>
  <si>
    <t>DESCRIÇÃO</t>
  </si>
  <si>
    <t>%</t>
  </si>
  <si>
    <t>1.0</t>
  </si>
  <si>
    <t>CUSTOS INDIRETOS</t>
  </si>
  <si>
    <t>Administração Central</t>
  </si>
  <si>
    <t>Seguros + Garantia</t>
  </si>
  <si>
    <t>Riscos</t>
  </si>
  <si>
    <t>Despesas Financeiras</t>
  </si>
  <si>
    <t>2.0</t>
  </si>
  <si>
    <t>TRIBUTOS</t>
  </si>
  <si>
    <t>Pis</t>
  </si>
  <si>
    <t>2.2</t>
  </si>
  <si>
    <t>Cofins</t>
  </si>
  <si>
    <t>2.3</t>
  </si>
  <si>
    <t xml:space="preserve">ISS </t>
  </si>
  <si>
    <t>2.4</t>
  </si>
  <si>
    <t>CPRB</t>
  </si>
  <si>
    <t>3.0</t>
  </si>
  <si>
    <t>LUCRO</t>
  </si>
  <si>
    <t>3.1</t>
  </si>
  <si>
    <t>Lucro</t>
  </si>
  <si>
    <t>4.0</t>
  </si>
  <si>
    <t>TAXA TOTAL DE BDI</t>
  </si>
  <si>
    <t>Segundo Acórdão 2622/2013 do Tribunal de Contas da União – TCU, o cálculo do BDI deve ser feito da seguinte maneira: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</si>
  <si>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</si>
  <si>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</si>
  <si>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</si>
  <si>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</si>
  <si>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</si>
  <si>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</si>
  <si>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COFINS, ISS e CPRB)</t>
  </si>
  <si>
    <t>GRADEADO CAIBROS/RIPAS</t>
  </si>
  <si>
    <t>Área 03</t>
  </si>
  <si>
    <t>Área 05</t>
  </si>
  <si>
    <t>Área 09</t>
  </si>
  <si>
    <t>COBERTURA COM TELHA FIBERGLASS COM VÉU PROTEÇÃO 1,5 MM COM ACESSÓRIOS</t>
  </si>
  <si>
    <t>Área 03 - uma a cada 6 m</t>
  </si>
  <si>
    <t>Área 05 - uma a cada 6 m</t>
  </si>
  <si>
    <t xml:space="preserve">Área 09 </t>
  </si>
  <si>
    <t>Área 08</t>
  </si>
  <si>
    <t>DENSIDADE (KG/M²)</t>
  </si>
  <si>
    <t>ÁREA  (M²)</t>
  </si>
  <si>
    <t>1.5</t>
  </si>
  <si>
    <t>ALTURA (M)</t>
  </si>
  <si>
    <t>Levantamento de ponto do telhado bloco 01</t>
  </si>
  <si>
    <t>Aumento da platibanda do bloco 01 -  lado do fundo</t>
  </si>
  <si>
    <t>Aumento da platibanda do bloco 01 -  lado frontal</t>
  </si>
  <si>
    <t>Aumento da platibanda do bloco 06 -  face do fundo e laterais</t>
  </si>
  <si>
    <t>Aumento da platibanda do bloco 06 -  face superior</t>
  </si>
  <si>
    <t>4.1</t>
  </si>
  <si>
    <t>Aumento da platibanda da AE1 - face do fundo e laterais</t>
  </si>
  <si>
    <t xml:space="preserve">Aumento do platibanda da AE2 </t>
  </si>
  <si>
    <t>5.1</t>
  </si>
  <si>
    <t>5.2</t>
  </si>
  <si>
    <t>6.1</t>
  </si>
  <si>
    <t>2 horas por dia</t>
  </si>
  <si>
    <t>DRIELID ALVES ROCHA</t>
  </si>
  <si>
    <t>CREA: 1017426910/D-GO</t>
  </si>
  <si>
    <t>7.1</t>
  </si>
  <si>
    <t>TRANSPORTE DE ENTULHO EM CAMINHÃO INCLUSO A CARGA MANUAL</t>
  </si>
  <si>
    <t>GRUPO DE SERVIÇO: 182 - REVESTIMENTO DE PAREDE</t>
  </si>
  <si>
    <t>8.1</t>
  </si>
  <si>
    <t>8.2</t>
  </si>
  <si>
    <t>GRUPO DE SERVIÇO 182: REVESTIMENTO DE PAREDE</t>
  </si>
  <si>
    <t>GRUPO DE SERVIÇO 170: INSTALAÇÃO HIDROSSANITÁRIA</t>
  </si>
  <si>
    <t>TABELA SIURB - (JULHO/2021) - DESONERADA</t>
  </si>
  <si>
    <t>TABELA SIURB - JULHO/2021 - DESONERADA</t>
  </si>
  <si>
    <t>Drielid Alves Rocha</t>
  </si>
  <si>
    <t>SINAPI 101979</t>
  </si>
  <si>
    <t>CHAPIM (RUFO CAPA) EM AÇO GALVANIZADO, CORTE 33</t>
  </si>
  <si>
    <t>Platibanda da AE1 - face do fundo e laterais</t>
  </si>
  <si>
    <t xml:space="preserve">Platibanda da AE2 </t>
  </si>
  <si>
    <t>Area 05 (do patio até a area 03)</t>
  </si>
  <si>
    <t>GRUPO DE SERVIÇO: 170 - INSTALAÇÕES HIDRO-SANITARIAS</t>
  </si>
  <si>
    <t>INSTALAÇÕES HIDROSSANITÁRIAS</t>
  </si>
  <si>
    <t>TUBO SOLDAVEL P/ESGOTO DIAM. 100 MM</t>
  </si>
  <si>
    <t>Vide projeto de aguas pluviais</t>
  </si>
  <si>
    <t>TUBO LEVE PVC RIGIDO DIAMETRO 200 MM</t>
  </si>
  <si>
    <t>COMPOSIÇÃO 2</t>
  </si>
  <si>
    <t>RALO ABACAXI 100 MM 4''</t>
  </si>
  <si>
    <t>und</t>
  </si>
  <si>
    <t>UNIDADE</t>
  </si>
  <si>
    <t>COMPOSIÇÃO 1</t>
  </si>
  <si>
    <t xml:space="preserve">CAIXA DE INSPEÇÃO - TAMPA EM CONCRETO ARMADO 25 MPA E=5CM m2 </t>
  </si>
  <si>
    <t>Bloco 10 (somente um lado)</t>
  </si>
  <si>
    <t>Aumento da platibanda do bloco 01 -  laterais</t>
  </si>
  <si>
    <t>Bloco 03</t>
  </si>
  <si>
    <t>Bloco 01 -  laterais</t>
  </si>
  <si>
    <t>Bloco 06 -  face do fundo e laterais</t>
  </si>
  <si>
    <t>Bloco 07 - 2 faces e laterais</t>
  </si>
  <si>
    <t>LIMPEZA DO SUBSTRATO COM APLICAÇÃO DE JATO DE ÁGUA FRIA</t>
  </si>
  <si>
    <t>GRUPO DE SERVIÇO: 168 - ESTRUTURA</t>
  </si>
  <si>
    <t>ESTRUTURA</t>
  </si>
  <si>
    <t xml:space="preserve">Bloco 01 </t>
  </si>
  <si>
    <t>GRUPO DE SERVIÇO 168: ESTRUTURA</t>
  </si>
  <si>
    <t>4.2</t>
  </si>
  <si>
    <t>4.3</t>
  </si>
  <si>
    <t>GRUPO DE SERVIÇO: 174 - IMPERMEABILIZAÇÃO</t>
  </si>
  <si>
    <t>IMPERMEABILIZAÇÃO</t>
  </si>
  <si>
    <t>IMPERMEABILIZAÇÃO DE SUPERFÍCIE COM EMULSÃO ASFÁLTICA, 2 DEMÃOS</t>
  </si>
  <si>
    <t>98557 SINAPI</t>
  </si>
  <si>
    <t>GRUPO DE SERVIÇO 174: IMPERMEABILIZAÇÃO</t>
  </si>
  <si>
    <t>9.1</t>
  </si>
  <si>
    <t>9.2</t>
  </si>
  <si>
    <t>9.3</t>
  </si>
  <si>
    <t>10.1</t>
  </si>
  <si>
    <t>10.2</t>
  </si>
  <si>
    <t>GRUPO DE SERVIÇO: 189 - DIVERSOS</t>
  </si>
  <si>
    <t>DIVERSOS</t>
  </si>
  <si>
    <t>11.1</t>
  </si>
  <si>
    <t>LIMPEZA FINAL DE OBRA - (OBRAS CIVIS)</t>
  </si>
  <si>
    <t>Área de construção</t>
  </si>
  <si>
    <t>DEMOLIÇÃO MANUAL DE FORRO PVC INCLUSIVE ESTRUTURA DE SUSTENTAÇÃO C/ TRANSP. ATÉ CB. E CARGA</t>
  </si>
  <si>
    <t>1.6</t>
  </si>
  <si>
    <t>CABO PVC (70ºC) 1 KV No 1,5 MM2</t>
  </si>
  <si>
    <t>CABO PVC (70ºC) 1 KV No. 2,5 MM2</t>
  </si>
  <si>
    <t>CABO PVC (70ºC) 1 KV No. 4 MM2</t>
  </si>
  <si>
    <t>Reparo parte életrica</t>
  </si>
  <si>
    <t>FORRO DE PVC COM ESTRUTURA EM METALON PINTADA COM TINTA ALQUÍDICA D.F</t>
  </si>
  <si>
    <t>INST. ELÉT./TELEFÔNICA/ACABEMENTO ESTRUTURADO</t>
  </si>
  <si>
    <t>5.3</t>
  </si>
  <si>
    <t>5.4</t>
  </si>
  <si>
    <t>5.5</t>
  </si>
  <si>
    <t>9.4</t>
  </si>
  <si>
    <t>9.5</t>
  </si>
  <si>
    <t>10.3</t>
  </si>
  <si>
    <t>GRUPO DE SERVIÇO: 183 - FORROS</t>
  </si>
  <si>
    <t>FORROS</t>
  </si>
  <si>
    <t>12.1</t>
  </si>
  <si>
    <t>12.2</t>
  </si>
  <si>
    <t>13.1</t>
  </si>
  <si>
    <t>FORRO</t>
  </si>
  <si>
    <t>GRUPO DE SERVIÇO 183: FORROS</t>
  </si>
  <si>
    <t>GRUPO DE SERVIÇO 189: DIVERSOS</t>
  </si>
  <si>
    <t>5.6</t>
  </si>
  <si>
    <t>JOELHO 90 GRAUS DIAMETRO 100 MM</t>
  </si>
  <si>
    <t>EMBOÇO (1CI:4 ARML) - FACE INTERNA E EXTERNA</t>
  </si>
  <si>
    <t>REBOCO (1 CALH:4 ARFC+100kgCI/M3) - FACE INTERNA E EXTERNA</t>
  </si>
  <si>
    <t>CHAPISCO COMUM - FACE INTERNA E EXTERNA</t>
  </si>
  <si>
    <t>INST. ELET./TELEFONICA/CABEAMENTO ESTRUTURADO</t>
  </si>
  <si>
    <t>GRUPO DE SERVIÇO 168: INST. ELÉT./TELEFÔNICA/CABEAMENTO ESTRUTURADO</t>
  </si>
  <si>
    <t>GRUPO DE SERVIÇO: 169 - INST. ELÉT./ TELEFÔNICA/CABEAMENTO ESTRUTURADO</t>
  </si>
  <si>
    <t>INST. ELÉT./TELEFÔNICA/CABEAMENTO ESTRUTURADO</t>
  </si>
  <si>
    <t>______________________________________</t>
  </si>
  <si>
    <t>1.7</t>
  </si>
  <si>
    <t>PLACA DE OBRA PLOTADA EM CHAPA METÁLICA 26 , AFIXADA EM CAVALETES DE MADEIRA DE LEI (VIGOTAS 6X12CM) - PADRÃO GOINFRA</t>
  </si>
  <si>
    <t>Placa de obra</t>
  </si>
  <si>
    <t>5.7</t>
  </si>
  <si>
    <t>LUVA SIMPLES DIAM. 100 MM</t>
  </si>
  <si>
    <t>PLACA DE INAUGURACAO ACO ESCOVADO 80 X 60 CM</t>
  </si>
  <si>
    <t>un.</t>
  </si>
  <si>
    <t>Local a ser definido pela fiscalização</t>
  </si>
  <si>
    <t>13.2</t>
  </si>
  <si>
    <t>TABELA SINAPI -  (NOVEMBRO/2021) -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</si>
</sst>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0.000%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5">
    <xf numFmtId="0" fontId="0" fillId="0" borderId="0" xfId="0"/>
    <xf numFmtId="2" fontId="5" fillId="2" borderId="10" xfId="0" applyNumberFormat="1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64" fontId="6" fillId="0" borderId="0" xfId="1" applyFont="1" applyBorder="1" applyAlignment="1">
      <alignment horizontal="left" vertical="center"/>
    </xf>
    <xf numFmtId="164" fontId="6" fillId="0" borderId="10" xfId="1" applyFont="1" applyBorder="1" applyAlignment="1">
      <alignment horizontal="left" vertical="center"/>
    </xf>
    <xf numFmtId="164" fontId="5" fillId="0" borderId="0" xfId="1" applyFont="1" applyBorder="1" applyAlignment="1">
      <alignment horizontal="left" vertical="center"/>
    </xf>
    <xf numFmtId="164" fontId="5" fillId="0" borderId="0" xfId="1" applyFont="1" applyAlignment="1">
      <alignment horizontal="left" vertical="center"/>
    </xf>
    <xf numFmtId="44" fontId="5" fillId="0" borderId="0" xfId="0" applyNumberFormat="1" applyFont="1" applyAlignment="1">
      <alignment vertical="center"/>
    </xf>
    <xf numFmtId="0" fontId="0" fillId="2" borderId="1" xfId="0" applyFill="1" applyBorder="1"/>
    <xf numFmtId="164" fontId="0" fillId="2" borderId="1" xfId="1" applyFont="1" applyFill="1" applyBorder="1" applyAlignment="1">
      <alignment vertical="center"/>
    </xf>
    <xf numFmtId="10" fontId="0" fillId="2" borderId="1" xfId="13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9" fontId="2" fillId="2" borderId="1" xfId="13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0" fillId="2" borderId="1" xfId="13" applyNumberFormat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0" fontId="0" fillId="2" borderId="13" xfId="0" applyNumberFormat="1" applyFill="1" applyBorder="1" applyAlignment="1">
      <alignment horizontal="center" vertical="center"/>
    </xf>
    <xf numFmtId="164" fontId="6" fillId="6" borderId="13" xfId="1" applyFon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center" vertical="center"/>
    </xf>
    <xf numFmtId="164" fontId="13" fillId="0" borderId="0" xfId="1" applyFont="1" applyBorder="1" applyAlignment="1">
      <alignment horizontal="right" vertical="center"/>
    </xf>
    <xf numFmtId="164" fontId="13" fillId="0" borderId="8" xfId="1" applyFont="1" applyBorder="1" applyAlignment="1">
      <alignment horizontal="center" vertical="center"/>
    </xf>
    <xf numFmtId="164" fontId="13" fillId="0" borderId="10" xfId="1" applyFont="1" applyBorder="1" applyAlignment="1">
      <alignment horizontal="right" vertical="center"/>
    </xf>
    <xf numFmtId="164" fontId="13" fillId="0" borderId="11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6" fillId="6" borderId="24" xfId="1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 wrapText="1"/>
    </xf>
    <xf numFmtId="2" fontId="13" fillId="6" borderId="39" xfId="0" applyNumberFormat="1" applyFont="1" applyFill="1" applyBorder="1" applyAlignment="1">
      <alignment horizontal="center" vertical="center"/>
    </xf>
    <xf numFmtId="164" fontId="13" fillId="6" borderId="40" xfId="1" applyFont="1" applyFill="1" applyBorder="1" applyAlignment="1">
      <alignment horizontal="center" vertical="center"/>
    </xf>
    <xf numFmtId="164" fontId="13" fillId="6" borderId="41" xfId="1" applyFont="1" applyFill="1" applyBorder="1" applyAlignment="1">
      <alignment horizontal="center" vertical="center"/>
    </xf>
    <xf numFmtId="164" fontId="13" fillId="6" borderId="39" xfId="1" applyFont="1" applyFill="1" applyBorder="1" applyAlignment="1">
      <alignment horizontal="center" vertical="center"/>
    </xf>
    <xf numFmtId="164" fontId="13" fillId="6" borderId="24" xfId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164" fontId="9" fillId="0" borderId="42" xfId="1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2" fontId="10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left" vertical="center"/>
    </xf>
    <xf numFmtId="164" fontId="5" fillId="0" borderId="42" xfId="1" applyFont="1" applyFill="1" applyBorder="1" applyAlignment="1">
      <alignment horizontal="left" vertical="center"/>
    </xf>
    <xf numFmtId="164" fontId="5" fillId="0" borderId="42" xfId="1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/>
    </xf>
    <xf numFmtId="164" fontId="5" fillId="0" borderId="44" xfId="1" applyFont="1" applyFill="1" applyBorder="1" applyAlignment="1">
      <alignment horizontal="center" vertical="center"/>
    </xf>
    <xf numFmtId="164" fontId="9" fillId="0" borderId="44" xfId="1" applyFont="1" applyBorder="1" applyAlignment="1">
      <alignment horizontal="right" vertical="center" wrapText="1"/>
    </xf>
    <xf numFmtId="164" fontId="5" fillId="0" borderId="44" xfId="1" applyFont="1" applyFill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2" fontId="5" fillId="0" borderId="0" xfId="1" applyNumberFormat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9" fillId="0" borderId="42" xfId="0" quotePrefix="1" applyFont="1" applyBorder="1" applyAlignment="1">
      <alignment horizontal="left" vertical="center"/>
    </xf>
    <xf numFmtId="0" fontId="5" fillId="0" borderId="42" xfId="0" quotePrefix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left" vertical="center"/>
    </xf>
    <xf numFmtId="164" fontId="5" fillId="0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9" fillId="0" borderId="21" xfId="1" applyFont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left" vertical="center"/>
    </xf>
    <xf numFmtId="164" fontId="5" fillId="0" borderId="8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2" fontId="17" fillId="0" borderId="0" xfId="1" applyNumberFormat="1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49" fontId="10" fillId="0" borderId="10" xfId="5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2" fontId="10" fillId="0" borderId="10" xfId="5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12" xfId="14" applyFont="1" applyBorder="1" applyAlignment="1">
      <alignment horizontal="center" vertical="center"/>
    </xf>
    <xf numFmtId="0" fontId="22" fillId="0" borderId="1" xfId="14" applyFont="1" applyBorder="1" applyAlignment="1">
      <alignment vertical="center"/>
    </xf>
    <xf numFmtId="0" fontId="19" fillId="0" borderId="12" xfId="14" applyFont="1" applyBorder="1" applyAlignment="1">
      <alignment horizontal="center" vertical="center"/>
    </xf>
    <xf numFmtId="0" fontId="19" fillId="0" borderId="1" xfId="14" applyFont="1" applyBorder="1" applyAlignment="1">
      <alignment vertical="center"/>
    </xf>
    <xf numFmtId="0" fontId="22" fillId="8" borderId="12" xfId="14" applyFont="1" applyFill="1" applyBorder="1" applyAlignment="1">
      <alignment horizontal="center" vertical="center"/>
    </xf>
    <xf numFmtId="0" fontId="22" fillId="7" borderId="1" xfId="14" applyFont="1" applyFill="1" applyBorder="1" applyAlignment="1">
      <alignment vertical="center"/>
    </xf>
    <xf numFmtId="10" fontId="5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2" fontId="5" fillId="0" borderId="45" xfId="0" applyNumberFormat="1" applyFont="1" applyBorder="1" applyAlignment="1">
      <alignment horizontal="center" vertical="center"/>
    </xf>
    <xf numFmtId="164" fontId="5" fillId="0" borderId="45" xfId="1" applyFont="1" applyFill="1" applyBorder="1" applyAlignment="1">
      <alignment horizontal="left" vertical="center"/>
    </xf>
    <xf numFmtId="164" fontId="5" fillId="0" borderId="5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9" fillId="0" borderId="45" xfId="0" quotePrefix="1" applyFont="1" applyBorder="1" applyAlignment="1">
      <alignment horizontal="center" vertical="center"/>
    </xf>
    <xf numFmtId="0" fontId="9" fillId="0" borderId="45" xfId="0" quotePrefix="1" applyFont="1" applyBorder="1" applyAlignment="1">
      <alignment horizontal="left" vertical="center"/>
    </xf>
    <xf numFmtId="2" fontId="10" fillId="0" borderId="45" xfId="0" applyNumberFormat="1" applyFont="1" applyBorder="1" applyAlignment="1">
      <alignment horizontal="center" vertical="center"/>
    </xf>
    <xf numFmtId="164" fontId="9" fillId="0" borderId="45" xfId="1" applyFont="1" applyBorder="1" applyAlignment="1">
      <alignment horizontal="left" vertical="center"/>
    </xf>
    <xf numFmtId="164" fontId="5" fillId="0" borderId="51" xfId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164" fontId="9" fillId="0" borderId="45" xfId="1" applyFont="1" applyBorder="1" applyAlignment="1">
      <alignment horizontal="left" vertical="center" wrapText="1"/>
    </xf>
    <xf numFmtId="164" fontId="9" fillId="0" borderId="51" xfId="1" applyFont="1" applyBorder="1" applyAlignment="1">
      <alignment horizontal="right" vertical="center" wrapText="1"/>
    </xf>
    <xf numFmtId="0" fontId="5" fillId="0" borderId="45" xfId="0" applyFont="1" applyBorder="1" applyAlignment="1">
      <alignment horizontal="left" vertical="center" wrapText="1"/>
    </xf>
    <xf numFmtId="164" fontId="5" fillId="0" borderId="45" xfId="0" applyNumberFormat="1" applyFont="1" applyBorder="1" applyAlignment="1">
      <alignment horizontal="left" vertical="center"/>
    </xf>
    <xf numFmtId="164" fontId="5" fillId="0" borderId="51" xfId="0" applyNumberFormat="1" applyFont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2" fontId="4" fillId="0" borderId="13" xfId="2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6" borderId="13" xfId="0" applyFont="1" applyFill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2" fontId="17" fillId="0" borderId="8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18" fillId="0" borderId="10" xfId="5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6" fontId="0" fillId="2" borderId="1" xfId="13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2" applyNumberFormat="1" applyFont="1" applyFill="1" applyBorder="1" applyAlignment="1">
      <alignment horizontal="center" vertical="center"/>
    </xf>
    <xf numFmtId="2" fontId="13" fillId="5" borderId="13" xfId="2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2" fontId="13" fillId="5" borderId="13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64" fontId="5" fillId="2" borderId="45" xfId="0" applyNumberFormat="1" applyFont="1" applyFill="1" applyBorder="1" applyAlignment="1">
      <alignment horizontal="left" vertical="center"/>
    </xf>
    <xf numFmtId="164" fontId="5" fillId="2" borderId="51" xfId="0" applyNumberFormat="1" applyFont="1" applyFill="1" applyBorder="1" applyAlignment="1">
      <alignment horizontal="center" vertical="center"/>
    </xf>
    <xf numFmtId="10" fontId="6" fillId="0" borderId="0" xfId="13" applyNumberFormat="1" applyFont="1" applyFill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left" vertical="center"/>
    </xf>
    <xf numFmtId="164" fontId="5" fillId="2" borderId="44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0" fontId="0" fillId="0" borderId="0" xfId="0" applyNumberFormat="1"/>
    <xf numFmtId="0" fontId="6" fillId="2" borderId="10" xfId="0" applyFont="1" applyFill="1" applyBorder="1" applyAlignment="1">
      <alignment horizontal="center" vertical="top"/>
    </xf>
    <xf numFmtId="49" fontId="15" fillId="0" borderId="10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164" fontId="5" fillId="2" borderId="0" xfId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64" fontId="5" fillId="0" borderId="5" xfId="1" applyFont="1" applyBorder="1" applyAlignment="1">
      <alignment horizontal="left" vertical="center"/>
    </xf>
    <xf numFmtId="164" fontId="13" fillId="0" borderId="5" xfId="1" applyFont="1" applyBorder="1" applyAlignment="1">
      <alignment horizontal="right" vertical="center"/>
    </xf>
    <xf numFmtId="164" fontId="13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left" vertical="center" wrapText="1"/>
    </xf>
    <xf numFmtId="164" fontId="9" fillId="0" borderId="8" xfId="1" applyFont="1" applyBorder="1" applyAlignment="1">
      <alignment horizontal="right" vertical="center" wrapText="1"/>
    </xf>
    <xf numFmtId="0" fontId="5" fillId="0" borderId="0" xfId="0" quotePrefix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164" fontId="6" fillId="6" borderId="13" xfId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2" fontId="17" fillId="0" borderId="0" xfId="0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8" fillId="0" borderId="0" xfId="5" applyNumberFormat="1" applyFont="1" applyBorder="1" applyAlignment="1">
      <alignment horizontal="center" vertical="center" wrapText="1"/>
    </xf>
    <xf numFmtId="2" fontId="18" fillId="0" borderId="0" xfId="5" applyNumberFormat="1" applyFont="1" applyBorder="1" applyAlignment="1">
      <alignment horizontal="center" vertical="center"/>
    </xf>
    <xf numFmtId="49" fontId="15" fillId="0" borderId="0" xfId="5" applyNumberFormat="1" applyFont="1" applyBorder="1" applyAlignment="1">
      <alignment horizontal="center" vertical="center" wrapText="1"/>
    </xf>
    <xf numFmtId="2" fontId="10" fillId="0" borderId="0" xfId="5" applyNumberFormat="1" applyFont="1" applyBorder="1" applyAlignment="1">
      <alignment horizontal="center" vertical="center"/>
    </xf>
    <xf numFmtId="0" fontId="0" fillId="0" borderId="5" xfId="0" applyBorder="1"/>
    <xf numFmtId="0" fontId="21" fillId="5" borderId="33" xfId="14" applyFont="1" applyFill="1" applyBorder="1" applyAlignment="1">
      <alignment horizontal="center" vertical="center"/>
    </xf>
    <xf numFmtId="0" fontId="21" fillId="5" borderId="23" xfId="14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0" fontId="0" fillId="2" borderId="2" xfId="13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 wrapText="1"/>
    </xf>
    <xf numFmtId="49" fontId="18" fillId="0" borderId="0" xfId="5" applyNumberFormat="1" applyFont="1" applyBorder="1" applyAlignment="1">
      <alignment vertical="center" wrapText="1"/>
    </xf>
    <xf numFmtId="2" fontId="13" fillId="5" borderId="2" xfId="0" applyNumberFormat="1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left" vertical="center"/>
    </xf>
    <xf numFmtId="0" fontId="13" fillId="6" borderId="20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2" fontId="13" fillId="5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6" borderId="2" xfId="1" applyNumberFormat="1" applyFont="1" applyFill="1" applyBorder="1" applyAlignment="1">
      <alignment horizontal="center" vertical="center"/>
    </xf>
    <xf numFmtId="2" fontId="13" fillId="6" borderId="20" xfId="1" applyNumberFormat="1" applyFont="1" applyFill="1" applyBorder="1" applyAlignment="1">
      <alignment horizontal="center" vertical="center"/>
    </xf>
    <xf numFmtId="2" fontId="13" fillId="6" borderId="25" xfId="1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6" borderId="30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/>
    </xf>
    <xf numFmtId="0" fontId="13" fillId="6" borderId="20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13" fillId="6" borderId="33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49" fontId="15" fillId="0" borderId="10" xfId="5" applyNumberFormat="1" applyFont="1" applyBorder="1" applyAlignment="1">
      <alignment horizontal="center" vertical="center" wrapText="1"/>
    </xf>
    <xf numFmtId="49" fontId="15" fillId="0" borderId="1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left" vertical="center"/>
    </xf>
    <xf numFmtId="2" fontId="17" fillId="0" borderId="8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10" fontId="0" fillId="2" borderId="14" xfId="0" applyNumberFormat="1" applyFill="1" applyBorder="1" applyAlignment="1">
      <alignment horizontal="center" vertical="center"/>
    </xf>
    <xf numFmtId="10" fontId="0" fillId="2" borderId="28" xfId="0" applyNumberFormat="1" applyFill="1" applyBorder="1" applyAlignment="1">
      <alignment horizontal="center" vertical="center"/>
    </xf>
    <xf numFmtId="10" fontId="0" fillId="2" borderId="36" xfId="0" applyNumberForma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right"/>
    </xf>
    <xf numFmtId="0" fontId="2" fillId="2" borderId="37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1" fillId="7" borderId="55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0" fontId="21" fillId="5" borderId="31" xfId="14" applyFont="1" applyFill="1" applyBorder="1" applyAlignment="1">
      <alignment horizontal="center" vertical="center"/>
    </xf>
    <xf numFmtId="0" fontId="21" fillId="5" borderId="18" xfId="14" applyFont="1" applyFill="1" applyBorder="1" applyAlignment="1">
      <alignment horizontal="center" vertical="center"/>
    </xf>
    <xf numFmtId="10" fontId="22" fillId="0" borderId="2" xfId="14" applyNumberFormat="1" applyFont="1" applyBorder="1" applyAlignment="1">
      <alignment horizontal="center" vertical="center"/>
    </xf>
    <xf numFmtId="10" fontId="22" fillId="0" borderId="25" xfId="14" applyNumberFormat="1" applyFont="1" applyBorder="1" applyAlignment="1">
      <alignment horizontal="center" vertical="center"/>
    </xf>
    <xf numFmtId="10" fontId="23" fillId="0" borderId="2" xfId="14" applyNumberFormat="1" applyFont="1" applyBorder="1" applyAlignment="1">
      <alignment horizontal="center" vertical="center"/>
    </xf>
    <xf numFmtId="10" fontId="23" fillId="0" borderId="25" xfId="14" applyNumberFormat="1" applyFont="1" applyBorder="1" applyAlignment="1">
      <alignment horizontal="center" vertical="center"/>
    </xf>
    <xf numFmtId="0" fontId="19" fillId="0" borderId="29" xfId="14" applyFont="1" applyBorder="1" applyAlignment="1">
      <alignment horizontal="left" vertical="center"/>
    </xf>
    <xf numFmtId="0" fontId="19" fillId="0" borderId="20" xfId="14" applyFont="1" applyBorder="1" applyAlignment="1">
      <alignment horizontal="left" vertical="center"/>
    </xf>
    <xf numFmtId="0" fontId="19" fillId="0" borderId="25" xfId="14" applyFont="1" applyBorder="1" applyAlignment="1">
      <alignment horizontal="left" vertical="center"/>
    </xf>
    <xf numFmtId="0" fontId="19" fillId="0" borderId="35" xfId="14" applyFont="1" applyBorder="1" applyAlignment="1">
      <alignment horizontal="left" vertical="center"/>
    </xf>
    <xf numFmtId="0" fontId="19" fillId="0" borderId="37" xfId="14" applyFont="1" applyBorder="1" applyAlignment="1">
      <alignment horizontal="left" vertical="center"/>
    </xf>
    <xf numFmtId="0" fontId="19" fillId="0" borderId="38" xfId="14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4" fillId="0" borderId="12" xfId="14" applyFont="1" applyBorder="1" applyAlignment="1">
      <alignment horizontal="left" vertical="center" wrapText="1"/>
    </xf>
    <xf numFmtId="0" fontId="14" fillId="0" borderId="1" xfId="14" applyFont="1" applyBorder="1" applyAlignment="1">
      <alignment horizontal="left" vertical="center" wrapText="1"/>
    </xf>
    <xf numFmtId="0" fontId="14" fillId="0" borderId="13" xfId="14" applyFont="1" applyBorder="1" applyAlignment="1">
      <alignment horizontal="left" vertical="center" wrapText="1"/>
    </xf>
    <xf numFmtId="0" fontId="19" fillId="0" borderId="16" xfId="14" applyFont="1" applyBorder="1" applyAlignment="1">
      <alignment horizontal="center" vertical="center"/>
    </xf>
    <xf numFmtId="0" fontId="19" fillId="0" borderId="15" xfId="14" applyFont="1" applyBorder="1" applyAlignment="1">
      <alignment horizontal="center" vertical="center"/>
    </xf>
    <xf numFmtId="0" fontId="19" fillId="0" borderId="17" xfId="14" applyFont="1" applyBorder="1" applyAlignment="1">
      <alignment horizontal="center" vertical="center"/>
    </xf>
    <xf numFmtId="0" fontId="19" fillId="0" borderId="7" xfId="14" applyFont="1" applyBorder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19" fillId="0" borderId="8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0" fontId="19" fillId="0" borderId="21" xfId="14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2" fontId="19" fillId="2" borderId="6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49" fontId="14" fillId="0" borderId="9" xfId="5" applyNumberFormat="1" applyFont="1" applyBorder="1" applyAlignment="1">
      <alignment horizontal="center" vertical="center" wrapText="1"/>
    </xf>
    <xf numFmtId="49" fontId="14" fillId="0" borderId="10" xfId="5" applyNumberFormat="1" applyFont="1" applyBorder="1" applyAlignment="1">
      <alignment horizontal="center" vertical="center" wrapText="1"/>
    </xf>
    <xf numFmtId="49" fontId="14" fillId="0" borderId="11" xfId="5" applyNumberFormat="1" applyFont="1" applyBorder="1" applyAlignment="1">
      <alignment horizontal="center" vertical="center" wrapText="1"/>
    </xf>
    <xf numFmtId="0" fontId="19" fillId="0" borderId="29" xfId="14" applyFont="1" applyBorder="1" applyAlignment="1">
      <alignment horizontal="center" vertical="center"/>
    </xf>
    <xf numFmtId="0" fontId="19" fillId="0" borderId="20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10" fontId="22" fillId="7" borderId="2" xfId="14" applyNumberFormat="1" applyFont="1" applyFill="1" applyBorder="1" applyAlignment="1">
      <alignment horizontal="center" vertical="center"/>
    </xf>
    <xf numFmtId="10" fontId="22" fillId="7" borderId="25" xfId="14" applyNumberFormat="1" applyFont="1" applyFill="1" applyBorder="1" applyAlignment="1">
      <alignment horizontal="center" vertical="center"/>
    </xf>
  </cellXfs>
  <cellStyles count="16">
    <cellStyle name="Moeda" xfId="1" builtinId="4"/>
    <cellStyle name="Moeda 2" xfId="3" xr:uid="{00000000-0005-0000-0000-000001000000}"/>
    <cellStyle name="Moeda 2 2" xfId="10" xr:uid="{32B7A7B1-F038-44E2-B71D-9D742E83FCE0}"/>
    <cellStyle name="Moeda 3" xfId="6" xr:uid="{00000000-0005-0000-0000-000002000000}"/>
    <cellStyle name="Moeda 4" xfId="8" xr:uid="{4B4C0928-1805-4D9A-97CE-5DCA79ADB0FF}"/>
    <cellStyle name="Normal" xfId="0" builtinId="0"/>
    <cellStyle name="Normal 2" xfId="5" xr:uid="{00000000-0005-0000-0000-000004000000}"/>
    <cellStyle name="Normal 2 21" xfId="14" xr:uid="{C53104C7-610A-4229-9004-1163380C8534}"/>
    <cellStyle name="Porcentagem" xfId="13" builtinId="5"/>
    <cellStyle name="Vírgula" xfId="2" builtinId="3"/>
    <cellStyle name="Vírgula 2" xfId="4" xr:uid="{00000000-0005-0000-0000-000007000000}"/>
    <cellStyle name="Vírgula 2 2" xfId="11" xr:uid="{0FCDC4DB-BD5B-4D2E-A0AF-8B05B5E02D80}"/>
    <cellStyle name="Vírgula 3" xfId="7" xr:uid="{00000000-0005-0000-0000-000008000000}"/>
    <cellStyle name="Vírgula 3 2" xfId="12" xr:uid="{179258CB-261E-4719-A81D-5263A6283A9C}"/>
    <cellStyle name="Vírgula 4" xfId="9" xr:uid="{736F402F-D74B-49FE-BC5E-76307B448416}"/>
    <cellStyle name="Vírgula 5" xfId="15" xr:uid="{264F5944-432F-4F52-8ECD-B18DB83D7354}"/>
  </cellStyles>
  <dxfs count="15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380999</xdr:colOff>
      <xdr:row>0</xdr:row>
      <xdr:rowOff>224868</xdr:rowOff>
    </xdr:from>
    <xdr:ext cx="3844076" cy="1203882"/>
    <xdr:pic>
      <xdr:nvPicPr>
        <xdr:cNvPr id="4" name="Imagem 3">
          <a:extLst>
            <a:ext uri="{FF2B5EF4-FFF2-40B4-BE49-F238E27FC236}">
              <a16:creationId xmlns:a16="http://schemas.microsoft.com/office/drawing/2014/main" id="{041EEDF2-5CE6-46AD-A8D0-8D260E6A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20" y="224868"/>
          <a:ext cx="3844076" cy="12038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377825</xdr:colOff>
      <xdr:row>2</xdr:row>
      <xdr:rowOff>13396</xdr:rowOff>
    </xdr:from>
    <xdr:ext cx="3160828" cy="98990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" y="407096"/>
          <a:ext cx="3160828" cy="9899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50428</xdr:colOff>
      <xdr:row>1</xdr:row>
      <xdr:rowOff>56030</xdr:rowOff>
    </xdr:from>
    <xdr:ext cx="1473572" cy="461490"/>
    <xdr:pic>
      <xdr:nvPicPr>
        <xdr:cNvPr id="3" name="Imagem 2">
          <a:extLst>
            <a:ext uri="{FF2B5EF4-FFF2-40B4-BE49-F238E27FC236}">
              <a16:creationId xmlns:a16="http://schemas.microsoft.com/office/drawing/2014/main" id="{142CC5BB-0D08-49DA-BB15-A9625823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46" y="246530"/>
          <a:ext cx="1473572" cy="46149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1123952</xdr:colOff>
      <xdr:row>25</xdr:row>
      <xdr:rowOff>142876</xdr:rowOff>
    </xdr:from>
    <xdr:to>
      <xdr:col>3</xdr:col>
      <xdr:colOff>1009651</xdr:colOff>
      <xdr:row>27</xdr:row>
      <xdr:rowOff>114301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350EAFF-27F5-41EE-A221-933CE2DB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7" y="6334126"/>
          <a:ext cx="3590924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1</xdr:row>
      <xdr:rowOff>29578</xdr:rowOff>
    </xdr:from>
    <xdr:ext cx="1466850" cy="459386"/>
    <xdr:pic>
      <xdr:nvPicPr>
        <xdr:cNvPr id="4" name="Imagem 3">
          <a:extLst>
            <a:ext uri="{FF2B5EF4-FFF2-40B4-BE49-F238E27FC236}">
              <a16:creationId xmlns:a16="http://schemas.microsoft.com/office/drawing/2014/main" id="{AD0F6171-D0DD-43FD-96C0-BC7475E0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77228"/>
          <a:ext cx="1466850" cy="4593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5B2D-2B8C-4543-87AB-DA6FE3FB5E0E}">
  <sheetPr>
    <pageSetUpPr fitToPage="1"/>
  </sheetPr>
  <dimension ref="A1:J257"/>
  <sheetViews>
    <sheetView showGridLines="0" view="pageBreakPreview" zoomScale="70" zoomScaleNormal="70" zoomScaleSheetLayoutView="70" zoomScalePageLayoutView="10" workbookViewId="0">
      <selection activeCell="H201" sqref="B1:H201"/>
    </sheetView>
  </sheetViews>
  <sheetFormatPr defaultColWidth="9.140625" defaultRowHeight="20.100000000000001" customHeight="1" x14ac:dyDescent="0.25"/>
  <cols>
    <col min="1" max="1" width="9.140625" style="13"/>
    <col min="2" max="2" width="9.28515625" style="8" customWidth="1"/>
    <col min="3" max="3" width="23.140625" style="8" customWidth="1"/>
    <col min="4" max="4" width="124.28515625" style="10" customWidth="1"/>
    <col min="5" max="5" width="6.85546875" style="7" bestFit="1" customWidth="1"/>
    <col min="6" max="6" width="31.7109375" style="12" bestFit="1" customWidth="1"/>
    <col min="7" max="7" width="24.85546875" style="12" customWidth="1"/>
    <col min="8" max="8" width="21.7109375" style="81" bestFit="1" customWidth="1"/>
    <col min="9" max="9" width="25.140625" style="13" bestFit="1" customWidth="1"/>
    <col min="10" max="16384" width="9.140625" style="13"/>
  </cols>
  <sheetData>
    <row r="1" spans="2:10" ht="20.100000000000001" customHeight="1" x14ac:dyDescent="0.25">
      <c r="B1" s="322" t="s">
        <v>0</v>
      </c>
      <c r="C1" s="323"/>
      <c r="D1" s="323"/>
      <c r="E1" s="323"/>
      <c r="F1" s="323"/>
      <c r="G1" s="323"/>
      <c r="H1" s="324"/>
      <c r="J1" s="13">
        <v>9</v>
      </c>
    </row>
    <row r="2" spans="2:10" ht="20.100000000000001" customHeight="1" x14ac:dyDescent="0.25">
      <c r="B2" s="325" t="s">
        <v>1</v>
      </c>
      <c r="C2" s="326"/>
      <c r="D2" s="326"/>
      <c r="E2" s="326"/>
      <c r="F2" s="326"/>
      <c r="G2" s="326"/>
      <c r="H2" s="327"/>
    </row>
    <row r="3" spans="2:10" ht="20.100000000000001" customHeight="1" x14ac:dyDescent="0.25">
      <c r="B3" s="325" t="s">
        <v>2</v>
      </c>
      <c r="C3" s="326"/>
      <c r="D3" s="326"/>
      <c r="E3" s="326"/>
      <c r="F3" s="326"/>
      <c r="G3" s="326"/>
      <c r="H3" s="327"/>
    </row>
    <row r="4" spans="2:10" ht="20.100000000000001" customHeight="1" x14ac:dyDescent="0.25">
      <c r="B4" s="145"/>
      <c r="C4" s="203"/>
      <c r="D4" s="326" t="s">
        <v>3</v>
      </c>
      <c r="E4" s="326"/>
      <c r="F4" s="326"/>
      <c r="G4" s="326"/>
      <c r="H4" s="146"/>
    </row>
    <row r="5" spans="2:10" ht="20.100000000000001" customHeight="1" x14ac:dyDescent="0.25">
      <c r="B5" s="325" t="s">
        <v>4</v>
      </c>
      <c r="C5" s="326"/>
      <c r="D5" s="326"/>
      <c r="E5" s="326"/>
      <c r="F5" s="326"/>
      <c r="G5" s="326"/>
      <c r="H5" s="327"/>
      <c r="I5" s="93"/>
      <c r="J5" s="88"/>
    </row>
    <row r="6" spans="2:10" ht="20.100000000000001" customHeight="1" x14ac:dyDescent="0.25">
      <c r="B6" s="325" t="s">
        <v>268</v>
      </c>
      <c r="C6" s="326"/>
      <c r="D6" s="326"/>
      <c r="E6" s="326"/>
      <c r="F6" s="326"/>
      <c r="G6" s="326"/>
      <c r="H6" s="327"/>
      <c r="I6" s="338"/>
      <c r="J6" s="338"/>
    </row>
    <row r="7" spans="2:10" ht="20.100000000000001" customHeight="1" thickBot="1" x14ac:dyDescent="0.3">
      <c r="B7" s="206"/>
      <c r="C7" s="279"/>
      <c r="D7" s="333" t="s">
        <v>181</v>
      </c>
      <c r="E7" s="333"/>
      <c r="F7" s="333"/>
      <c r="G7" s="333"/>
      <c r="H7" s="207"/>
      <c r="I7" s="88"/>
      <c r="J7" s="88"/>
    </row>
    <row r="8" spans="2:10" ht="20.100000000000001" customHeight="1" x14ac:dyDescent="0.25">
      <c r="B8" s="330" t="s">
        <v>5</v>
      </c>
      <c r="C8" s="331"/>
      <c r="D8" s="331"/>
      <c r="E8" s="331"/>
      <c r="F8" s="331"/>
      <c r="G8" s="331"/>
      <c r="H8" s="332"/>
    </row>
    <row r="9" spans="2:10" s="51" customFormat="1" ht="20.100000000000001" customHeight="1" x14ac:dyDescent="0.25">
      <c r="B9" s="147" t="s">
        <v>6</v>
      </c>
      <c r="C9" s="83" t="s">
        <v>7</v>
      </c>
      <c r="D9" s="54"/>
      <c r="E9" s="55" t="s">
        <v>8</v>
      </c>
      <c r="F9" s="334" t="s">
        <v>5</v>
      </c>
      <c r="G9" s="335"/>
      <c r="H9" s="336"/>
    </row>
    <row r="10" spans="2:10" s="51" customFormat="1" ht="20.100000000000001" customHeight="1" x14ac:dyDescent="0.25">
      <c r="B10" s="300" t="s">
        <v>9</v>
      </c>
      <c r="C10" s="301"/>
      <c r="D10" s="328"/>
      <c r="E10" s="328"/>
      <c r="F10" s="328"/>
      <c r="G10" s="328"/>
      <c r="H10" s="329"/>
    </row>
    <row r="11" spans="2:10" s="51" customFormat="1" ht="20.100000000000001" customHeight="1" x14ac:dyDescent="0.25">
      <c r="B11" s="148">
        <v>1</v>
      </c>
      <c r="C11" s="83">
        <v>20000</v>
      </c>
      <c r="D11" s="339" t="s">
        <v>10</v>
      </c>
      <c r="E11" s="340"/>
      <c r="F11" s="340"/>
      <c r="G11" s="341"/>
      <c r="H11" s="149" t="s">
        <v>11</v>
      </c>
    </row>
    <row r="12" spans="2:10" s="51" customFormat="1" ht="32.25" customHeight="1" x14ac:dyDescent="0.25">
      <c r="B12" s="166" t="s">
        <v>12</v>
      </c>
      <c r="C12" s="167">
        <v>20101</v>
      </c>
      <c r="D12" s="168" t="s">
        <v>13</v>
      </c>
      <c r="E12" s="169" t="s">
        <v>14</v>
      </c>
      <c r="F12" s="170" t="s">
        <v>15</v>
      </c>
      <c r="G12" s="170" t="s">
        <v>16</v>
      </c>
      <c r="H12" s="171">
        <f>SUM(H13:H16)</f>
        <v>532.55333999999993</v>
      </c>
    </row>
    <row r="13" spans="2:10" s="51" customFormat="1" ht="20.100000000000001" customHeight="1" x14ac:dyDescent="0.25">
      <c r="B13" s="342"/>
      <c r="C13" s="343"/>
      <c r="D13" s="118" t="s">
        <v>17</v>
      </c>
      <c r="E13" s="52" t="s">
        <v>14</v>
      </c>
      <c r="F13" s="128">
        <v>15.06</v>
      </c>
      <c r="G13" s="128">
        <v>2.4900000000000002</v>
      </c>
      <c r="H13" s="150">
        <f>G13*F13*10%</f>
        <v>3.7499400000000005</v>
      </c>
    </row>
    <row r="14" spans="2:10" s="51" customFormat="1" ht="20.100000000000001" customHeight="1" x14ac:dyDescent="0.25">
      <c r="B14" s="344"/>
      <c r="C14" s="345"/>
      <c r="D14" s="118" t="s">
        <v>18</v>
      </c>
      <c r="E14" s="52" t="s">
        <v>14</v>
      </c>
      <c r="F14" s="128">
        <v>15.45</v>
      </c>
      <c r="G14" s="128">
        <v>8.1999999999999993</v>
      </c>
      <c r="H14" s="150">
        <f>G14*F14*20%</f>
        <v>25.337999999999997</v>
      </c>
    </row>
    <row r="15" spans="2:10" s="51" customFormat="1" ht="20.100000000000001" customHeight="1" x14ac:dyDescent="0.25">
      <c r="B15" s="344"/>
      <c r="C15" s="345"/>
      <c r="D15" s="240" t="s">
        <v>19</v>
      </c>
      <c r="E15" s="52" t="s">
        <v>14</v>
      </c>
      <c r="F15" s="128">
        <v>45.26</v>
      </c>
      <c r="G15" s="128">
        <v>5.79</v>
      </c>
      <c r="H15" s="150">
        <f>G15*F15</f>
        <v>262.05539999999996</v>
      </c>
    </row>
    <row r="16" spans="2:10" s="51" customFormat="1" ht="20.100000000000001" customHeight="1" x14ac:dyDescent="0.25">
      <c r="B16" s="346"/>
      <c r="C16" s="347"/>
      <c r="D16" s="118" t="s">
        <v>20</v>
      </c>
      <c r="E16" s="52" t="s">
        <v>14</v>
      </c>
      <c r="F16" s="128">
        <v>39</v>
      </c>
      <c r="G16" s="128">
        <v>6.19</v>
      </c>
      <c r="H16" s="151">
        <f>F16*G16</f>
        <v>241.41000000000003</v>
      </c>
    </row>
    <row r="17" spans="2:8" s="51" customFormat="1" ht="36" customHeight="1" x14ac:dyDescent="0.25">
      <c r="B17" s="166" t="s">
        <v>21</v>
      </c>
      <c r="C17" s="167">
        <v>20102</v>
      </c>
      <c r="D17" s="168" t="s">
        <v>22</v>
      </c>
      <c r="E17" s="169" t="s">
        <v>14</v>
      </c>
      <c r="F17" s="170" t="s">
        <v>15</v>
      </c>
      <c r="G17" s="170" t="s">
        <v>16</v>
      </c>
      <c r="H17" s="171">
        <f>SUM(H18:H25)</f>
        <v>730.8590999999999</v>
      </c>
    </row>
    <row r="18" spans="2:8" s="51" customFormat="1" ht="20.100000000000001" customHeight="1" x14ac:dyDescent="0.25">
      <c r="B18" s="152"/>
      <c r="C18" s="119"/>
      <c r="D18" s="50" t="s">
        <v>23</v>
      </c>
      <c r="E18" s="52" t="s">
        <v>14</v>
      </c>
      <c r="F18" s="128">
        <v>22.27</v>
      </c>
      <c r="G18" s="128">
        <v>18.22</v>
      </c>
      <c r="H18" s="150">
        <f>G18*F18-(5.53*1.45+10.65*4.76)</f>
        <v>347.04689999999994</v>
      </c>
    </row>
    <row r="19" spans="2:8" s="51" customFormat="1" ht="20.100000000000001" customHeight="1" x14ac:dyDescent="0.25">
      <c r="B19" s="153"/>
      <c r="C19" s="120"/>
      <c r="D19" s="50" t="s">
        <v>24</v>
      </c>
      <c r="E19" s="52" t="s">
        <v>14</v>
      </c>
      <c r="F19" s="128">
        <f>1.62+18.72</f>
        <v>20.34</v>
      </c>
      <c r="G19" s="128">
        <f>2.68+3.5</f>
        <v>6.18</v>
      </c>
      <c r="H19" s="150">
        <f t="shared" ref="H19:H23" si="0">G19*F19</f>
        <v>125.7012</v>
      </c>
    </row>
    <row r="20" spans="2:8" s="51" customFormat="1" ht="20.100000000000001" customHeight="1" x14ac:dyDescent="0.25">
      <c r="B20" s="153"/>
      <c r="C20" s="120"/>
      <c r="D20" s="50" t="s">
        <v>25</v>
      </c>
      <c r="E20" s="52" t="s">
        <v>14</v>
      </c>
      <c r="F20" s="128">
        <v>24.9</v>
      </c>
      <c r="G20" s="128">
        <v>2.5</v>
      </c>
      <c r="H20" s="150">
        <f t="shared" si="0"/>
        <v>62.25</v>
      </c>
    </row>
    <row r="21" spans="2:8" s="51" customFormat="1" ht="20.100000000000001" customHeight="1" x14ac:dyDescent="0.25">
      <c r="B21" s="153"/>
      <c r="C21" s="120"/>
      <c r="D21" s="50" t="s">
        <v>26</v>
      </c>
      <c r="E21" s="52" t="s">
        <v>14</v>
      </c>
      <c r="F21" s="128">
        <v>39.14</v>
      </c>
      <c r="G21" s="128">
        <v>1.4</v>
      </c>
      <c r="H21" s="150">
        <f t="shared" si="0"/>
        <v>54.795999999999999</v>
      </c>
    </row>
    <row r="22" spans="2:8" s="51" customFormat="1" ht="20.100000000000001" customHeight="1" x14ac:dyDescent="0.25">
      <c r="B22" s="153"/>
      <c r="C22" s="120"/>
      <c r="D22" s="50" t="s">
        <v>27</v>
      </c>
      <c r="E22" s="52" t="s">
        <v>14</v>
      </c>
      <c r="F22" s="128">
        <v>1.4</v>
      </c>
      <c r="G22" s="128">
        <v>11.69</v>
      </c>
      <c r="H22" s="150">
        <f t="shared" si="0"/>
        <v>16.366</v>
      </c>
    </row>
    <row r="23" spans="2:8" s="51" customFormat="1" ht="20.100000000000001" customHeight="1" x14ac:dyDescent="0.25">
      <c r="B23" s="153"/>
      <c r="C23" s="120"/>
      <c r="D23" s="50" t="s">
        <v>28</v>
      </c>
      <c r="E23" s="52" t="s">
        <v>14</v>
      </c>
      <c r="F23" s="165">
        <v>5.7</v>
      </c>
      <c r="G23" s="165">
        <v>11.59</v>
      </c>
      <c r="H23" s="151">
        <f t="shared" si="0"/>
        <v>66.063000000000002</v>
      </c>
    </row>
    <row r="24" spans="2:8" s="51" customFormat="1" ht="20.100000000000001" customHeight="1" x14ac:dyDescent="0.25">
      <c r="B24" s="153"/>
      <c r="C24" s="120"/>
      <c r="D24" s="50" t="s">
        <v>29</v>
      </c>
      <c r="E24" s="52" t="s">
        <v>14</v>
      </c>
      <c r="F24" s="165">
        <v>10.7</v>
      </c>
      <c r="G24" s="165">
        <v>5.48</v>
      </c>
      <c r="H24" s="151">
        <f>G24*F24-(4.37*8.22)</f>
        <v>22.714599999999997</v>
      </c>
    </row>
    <row r="25" spans="2:8" s="51" customFormat="1" ht="20.100000000000001" customHeight="1" x14ac:dyDescent="0.25">
      <c r="B25" s="221"/>
      <c r="C25" s="222"/>
      <c r="D25" s="50" t="s">
        <v>30</v>
      </c>
      <c r="E25" s="52" t="s">
        <v>14</v>
      </c>
      <c r="F25" s="165">
        <v>4.37</v>
      </c>
      <c r="G25" s="165">
        <v>8.2200000000000006</v>
      </c>
      <c r="H25" s="151">
        <f>G25*F25</f>
        <v>35.921400000000006</v>
      </c>
    </row>
    <row r="26" spans="2:8" s="51" customFormat="1" ht="36" customHeight="1" x14ac:dyDescent="0.25">
      <c r="B26" s="166" t="s">
        <v>31</v>
      </c>
      <c r="C26" s="167">
        <v>20103</v>
      </c>
      <c r="D26" s="168" t="s">
        <v>32</v>
      </c>
      <c r="E26" s="169" t="s">
        <v>14</v>
      </c>
      <c r="F26" s="170" t="s">
        <v>15</v>
      </c>
      <c r="G26" s="170" t="s">
        <v>16</v>
      </c>
      <c r="H26" s="171">
        <f>SUM(H27:H33)</f>
        <v>1012.7107000000001</v>
      </c>
    </row>
    <row r="27" spans="2:8" s="51" customFormat="1" ht="20.100000000000001" customHeight="1" x14ac:dyDescent="0.25">
      <c r="B27" s="152"/>
      <c r="C27" s="119"/>
      <c r="D27" s="50" t="s">
        <v>23</v>
      </c>
      <c r="E27" s="52" t="s">
        <v>14</v>
      </c>
      <c r="F27" s="128">
        <v>22.27</v>
      </c>
      <c r="G27" s="128">
        <v>18.22</v>
      </c>
      <c r="H27" s="150">
        <f>G27*F27-(5.53*1.45+10.65*4.76)</f>
        <v>347.04689999999994</v>
      </c>
    </row>
    <row r="28" spans="2:8" s="51" customFormat="1" ht="20.100000000000001" customHeight="1" x14ac:dyDescent="0.25">
      <c r="B28" s="153"/>
      <c r="C28" s="120"/>
      <c r="D28" s="50" t="s">
        <v>17</v>
      </c>
      <c r="E28" s="52" t="s">
        <v>14</v>
      </c>
      <c r="F28" s="165">
        <v>15.06</v>
      </c>
      <c r="G28" s="165">
        <v>2.4900000000000002</v>
      </c>
      <c r="H28" s="150">
        <f t="shared" ref="H28:H31" si="1">G28*F28</f>
        <v>37.499400000000001</v>
      </c>
    </row>
    <row r="29" spans="2:8" s="51" customFormat="1" ht="20.100000000000001" customHeight="1" x14ac:dyDescent="0.25">
      <c r="B29" s="153"/>
      <c r="C29" s="120"/>
      <c r="D29" s="50" t="s">
        <v>19</v>
      </c>
      <c r="E29" s="52" t="s">
        <v>14</v>
      </c>
      <c r="F29" s="165">
        <v>45.26</v>
      </c>
      <c r="G29" s="165">
        <v>5.79</v>
      </c>
      <c r="H29" s="150">
        <f t="shared" si="1"/>
        <v>262.05539999999996</v>
      </c>
    </row>
    <row r="30" spans="2:8" s="51" customFormat="1" ht="20.100000000000001" customHeight="1" x14ac:dyDescent="0.25">
      <c r="B30" s="153"/>
      <c r="C30" s="120"/>
      <c r="D30" s="50" t="s">
        <v>20</v>
      </c>
      <c r="E30" s="52" t="s">
        <v>14</v>
      </c>
      <c r="F30" s="165">
        <v>39</v>
      </c>
      <c r="G30" s="165">
        <v>6.19</v>
      </c>
      <c r="H30" s="150">
        <f t="shared" si="1"/>
        <v>241.41000000000003</v>
      </c>
    </row>
    <row r="31" spans="2:8" s="51" customFormat="1" ht="20.100000000000001" customHeight="1" x14ac:dyDescent="0.25">
      <c r="B31" s="153"/>
      <c r="C31" s="120"/>
      <c r="D31" s="50" t="s">
        <v>28</v>
      </c>
      <c r="E31" s="52" t="s">
        <v>14</v>
      </c>
      <c r="F31" s="165">
        <v>5.7</v>
      </c>
      <c r="G31" s="165">
        <v>11.59</v>
      </c>
      <c r="H31" s="150">
        <f t="shared" si="1"/>
        <v>66.063000000000002</v>
      </c>
    </row>
    <row r="32" spans="2:8" s="51" customFormat="1" ht="20.100000000000001" customHeight="1" x14ac:dyDescent="0.25">
      <c r="B32" s="153"/>
      <c r="C32" s="120"/>
      <c r="D32" s="50" t="s">
        <v>29</v>
      </c>
      <c r="E32" s="52" t="s">
        <v>14</v>
      </c>
      <c r="F32" s="165">
        <v>10.7</v>
      </c>
      <c r="G32" s="165">
        <v>5.48</v>
      </c>
      <c r="H32" s="151">
        <f>G32*F32-(4.37*8.22)</f>
        <v>22.714599999999997</v>
      </c>
    </row>
    <row r="33" spans="2:8" s="51" customFormat="1" ht="20.100000000000001" customHeight="1" x14ac:dyDescent="0.25">
      <c r="B33" s="221"/>
      <c r="C33" s="222"/>
      <c r="D33" s="50" t="s">
        <v>30</v>
      </c>
      <c r="E33" s="52" t="s">
        <v>14</v>
      </c>
      <c r="F33" s="165">
        <v>4.37</v>
      </c>
      <c r="G33" s="165">
        <v>8.2200000000000006</v>
      </c>
      <c r="H33" s="151">
        <f>G33*F33</f>
        <v>35.921400000000006</v>
      </c>
    </row>
    <row r="34" spans="2:8" s="51" customFormat="1" ht="36" customHeight="1" x14ac:dyDescent="0.25">
      <c r="B34" s="166" t="s">
        <v>33</v>
      </c>
      <c r="C34" s="167">
        <v>20157</v>
      </c>
      <c r="D34" s="168" t="s">
        <v>34</v>
      </c>
      <c r="E34" s="169" t="s">
        <v>14</v>
      </c>
      <c r="F34" s="170" t="s">
        <v>15</v>
      </c>
      <c r="G34" s="170" t="s">
        <v>16</v>
      </c>
      <c r="H34" s="171">
        <f>SUM(H35:H42)</f>
        <v>36.64</v>
      </c>
    </row>
    <row r="35" spans="2:8" s="51" customFormat="1" ht="20.100000000000001" customHeight="1" x14ac:dyDescent="0.25">
      <c r="B35" s="152"/>
      <c r="C35" s="119"/>
      <c r="D35" s="50" t="s">
        <v>23</v>
      </c>
      <c r="E35" s="52" t="s">
        <v>14</v>
      </c>
      <c r="F35" s="165">
        <f>7.34+11.04+4.45</f>
        <v>22.83</v>
      </c>
      <c r="G35" s="165">
        <v>0.2</v>
      </c>
      <c r="H35" s="151">
        <f>G35*F35</f>
        <v>4.5659999999999998</v>
      </c>
    </row>
    <row r="36" spans="2:8" s="51" customFormat="1" ht="20.100000000000001" customHeight="1" x14ac:dyDescent="0.25">
      <c r="B36" s="153"/>
      <c r="C36" s="120"/>
      <c r="D36" s="50" t="s">
        <v>19</v>
      </c>
      <c r="E36" s="52" t="s">
        <v>14</v>
      </c>
      <c r="F36" s="165">
        <f>16.6+16.6+5.22+5.22+5.22+5.22+28.5+28.5</f>
        <v>111.08</v>
      </c>
      <c r="G36" s="165">
        <v>0.2</v>
      </c>
      <c r="H36" s="151">
        <f t="shared" ref="H36:H42" si="2">G36*F36</f>
        <v>22.216000000000001</v>
      </c>
    </row>
    <row r="37" spans="2:8" s="51" customFormat="1" ht="20.100000000000001" customHeight="1" x14ac:dyDescent="0.25">
      <c r="B37" s="153"/>
      <c r="C37" s="120"/>
      <c r="D37" s="50" t="s">
        <v>29</v>
      </c>
      <c r="E37" s="52" t="s">
        <v>14</v>
      </c>
      <c r="F37" s="165">
        <v>10.7</v>
      </c>
      <c r="G37" s="165">
        <v>0.2</v>
      </c>
      <c r="H37" s="151">
        <f t="shared" si="2"/>
        <v>2.14</v>
      </c>
    </row>
    <row r="38" spans="2:8" s="51" customFormat="1" ht="20.100000000000001" customHeight="1" x14ac:dyDescent="0.25">
      <c r="B38" s="153"/>
      <c r="C38" s="120"/>
      <c r="D38" s="50" t="s">
        <v>30</v>
      </c>
      <c r="E38" s="52" t="s">
        <v>14</v>
      </c>
      <c r="F38" s="165">
        <v>4.37</v>
      </c>
      <c r="G38" s="165">
        <v>0.2</v>
      </c>
      <c r="H38" s="151">
        <f t="shared" si="2"/>
        <v>0.87400000000000011</v>
      </c>
    </row>
    <row r="39" spans="2:8" s="51" customFormat="1" ht="20.100000000000001" customHeight="1" x14ac:dyDescent="0.25">
      <c r="B39" s="153"/>
      <c r="C39" s="120"/>
      <c r="D39" s="50" t="s">
        <v>35</v>
      </c>
      <c r="E39" s="52" t="s">
        <v>14</v>
      </c>
      <c r="F39" s="165">
        <v>1.4</v>
      </c>
      <c r="G39" s="165">
        <v>0.2</v>
      </c>
      <c r="H39" s="151">
        <f t="shared" si="2"/>
        <v>0.27999999999999997</v>
      </c>
    </row>
    <row r="40" spans="2:8" s="51" customFormat="1" ht="20.100000000000001" customHeight="1" x14ac:dyDescent="0.25">
      <c r="B40" s="153"/>
      <c r="C40" s="120"/>
      <c r="D40" s="50" t="s">
        <v>17</v>
      </c>
      <c r="E40" s="52" t="s">
        <v>14</v>
      </c>
      <c r="F40" s="165">
        <v>15.14</v>
      </c>
      <c r="G40" s="165">
        <v>0.2</v>
      </c>
      <c r="H40" s="151">
        <f t="shared" si="2"/>
        <v>3.0280000000000005</v>
      </c>
    </row>
    <row r="41" spans="2:8" s="51" customFormat="1" ht="20.100000000000001" customHeight="1" x14ac:dyDescent="0.25">
      <c r="B41" s="153"/>
      <c r="C41" s="120"/>
      <c r="D41" s="50" t="s">
        <v>187</v>
      </c>
      <c r="E41" s="52" t="s">
        <v>14</v>
      </c>
      <c r="F41" s="165">
        <v>11.81</v>
      </c>
      <c r="G41" s="165">
        <v>0.2</v>
      </c>
      <c r="H41" s="151">
        <f t="shared" si="2"/>
        <v>2.3620000000000001</v>
      </c>
    </row>
    <row r="42" spans="2:8" s="51" customFormat="1" ht="20.100000000000001" customHeight="1" x14ac:dyDescent="0.25">
      <c r="B42" s="221"/>
      <c r="C42" s="222"/>
      <c r="D42" s="50" t="s">
        <v>199</v>
      </c>
      <c r="E42" s="52" t="s">
        <v>14</v>
      </c>
      <c r="F42" s="165">
        <v>5.87</v>
      </c>
      <c r="G42" s="165">
        <v>0.2</v>
      </c>
      <c r="H42" s="151">
        <f t="shared" si="2"/>
        <v>1.1740000000000002</v>
      </c>
    </row>
    <row r="43" spans="2:8" s="51" customFormat="1" ht="36" customHeight="1" x14ac:dyDescent="0.25">
      <c r="B43" s="172" t="s">
        <v>157</v>
      </c>
      <c r="C43" s="173" t="s">
        <v>36</v>
      </c>
      <c r="D43" s="174" t="s">
        <v>37</v>
      </c>
      <c r="E43" s="278" t="s">
        <v>38</v>
      </c>
      <c r="F43" s="170" t="s">
        <v>156</v>
      </c>
      <c r="G43" s="170" t="s">
        <v>155</v>
      </c>
      <c r="H43" s="171">
        <f>SUM(H44:H46)</f>
        <v>714.16160000000002</v>
      </c>
    </row>
    <row r="44" spans="2:8" s="51" customFormat="1" ht="20.100000000000001" customHeight="1" x14ac:dyDescent="0.25">
      <c r="B44" s="292"/>
      <c r="C44" s="293"/>
      <c r="D44" s="50" t="s">
        <v>24</v>
      </c>
      <c r="E44" s="52" t="s">
        <v>38</v>
      </c>
      <c r="F44" s="165">
        <f>20.16*0.04*0.04</f>
        <v>3.2256E-2</v>
      </c>
      <c r="G44" s="165">
        <v>7850</v>
      </c>
      <c r="H44" s="151">
        <f>G44*F44</f>
        <v>253.20959999999999</v>
      </c>
    </row>
    <row r="45" spans="2:8" s="51" customFormat="1" ht="20.100000000000001" customHeight="1" x14ac:dyDescent="0.25">
      <c r="B45" s="294"/>
      <c r="C45" s="295"/>
      <c r="D45" s="50" t="s">
        <v>25</v>
      </c>
      <c r="E45" s="52" t="s">
        <v>38</v>
      </c>
      <c r="F45" s="165">
        <f>25*0.04*0.04</f>
        <v>0.04</v>
      </c>
      <c r="G45" s="165">
        <v>7850</v>
      </c>
      <c r="H45" s="151">
        <f t="shared" ref="H45:H46" si="3">G45*F45</f>
        <v>314</v>
      </c>
    </row>
    <row r="46" spans="2:8" s="51" customFormat="1" ht="20.100000000000001" customHeight="1" x14ac:dyDescent="0.25">
      <c r="B46" s="296"/>
      <c r="C46" s="297"/>
      <c r="D46" s="50" t="s">
        <v>27</v>
      </c>
      <c r="E46" s="52" t="s">
        <v>38</v>
      </c>
      <c r="F46" s="183">
        <f>11.7*0.04*0.04</f>
        <v>1.8720000000000001E-2</v>
      </c>
      <c r="G46" s="165">
        <v>7850</v>
      </c>
      <c r="H46" s="151">
        <f t="shared" si="3"/>
        <v>146.952</v>
      </c>
    </row>
    <row r="47" spans="2:8" s="51" customFormat="1" ht="20.100000000000001" customHeight="1" x14ac:dyDescent="0.25">
      <c r="B47" s="172" t="s">
        <v>228</v>
      </c>
      <c r="C47" s="173">
        <v>20147</v>
      </c>
      <c r="D47" s="174" t="s">
        <v>227</v>
      </c>
      <c r="E47" s="169" t="s">
        <v>14</v>
      </c>
      <c r="F47" s="170" t="s">
        <v>15</v>
      </c>
      <c r="G47" s="170" t="s">
        <v>16</v>
      </c>
      <c r="H47" s="171">
        <f>SUM(H48:H49)</f>
        <v>506.69460000000004</v>
      </c>
    </row>
    <row r="48" spans="2:8" s="51" customFormat="1" ht="20.100000000000001" customHeight="1" x14ac:dyDescent="0.25">
      <c r="B48" s="292"/>
      <c r="C48" s="293"/>
      <c r="D48" s="50" t="s">
        <v>19</v>
      </c>
      <c r="E48" s="52" t="s">
        <v>14</v>
      </c>
      <c r="F48" s="183">
        <v>16.350000000000001</v>
      </c>
      <c r="G48" s="165">
        <v>5.64</v>
      </c>
      <c r="H48" s="151">
        <f>G48*F48+(28.51*5.64)</f>
        <v>253.0104</v>
      </c>
    </row>
    <row r="49" spans="2:8" s="51" customFormat="1" ht="20.100000000000001" customHeight="1" x14ac:dyDescent="0.25">
      <c r="B49" s="296"/>
      <c r="C49" s="297"/>
      <c r="D49" s="50" t="s">
        <v>20</v>
      </c>
      <c r="E49" s="52" t="s">
        <v>14</v>
      </c>
      <c r="F49" s="183">
        <v>39.270000000000003</v>
      </c>
      <c r="G49" s="165">
        <v>6.46</v>
      </c>
      <c r="H49" s="151">
        <f>G49*F49</f>
        <v>253.68420000000003</v>
      </c>
    </row>
    <row r="50" spans="2:8" s="51" customFormat="1" ht="32.25" customHeight="1" x14ac:dyDescent="0.25">
      <c r="B50" s="172" t="s">
        <v>259</v>
      </c>
      <c r="C50" s="173">
        <v>21301</v>
      </c>
      <c r="D50" s="174" t="s">
        <v>260</v>
      </c>
      <c r="E50" s="169" t="s">
        <v>14</v>
      </c>
      <c r="F50" s="170" t="s">
        <v>15</v>
      </c>
      <c r="G50" s="170" t="s">
        <v>16</v>
      </c>
      <c r="H50" s="171">
        <f>H51</f>
        <v>3</v>
      </c>
    </row>
    <row r="51" spans="2:8" s="51" customFormat="1" ht="20.100000000000001" customHeight="1" x14ac:dyDescent="0.25">
      <c r="B51" s="276"/>
      <c r="C51" s="277"/>
      <c r="D51" s="50" t="s">
        <v>261</v>
      </c>
      <c r="E51" s="52" t="s">
        <v>14</v>
      </c>
      <c r="F51" s="183">
        <v>2</v>
      </c>
      <c r="G51" s="165">
        <v>1.5</v>
      </c>
      <c r="H51" s="151">
        <f>G51*F51</f>
        <v>3</v>
      </c>
    </row>
    <row r="52" spans="2:8" s="51" customFormat="1" ht="20.100000000000001" customHeight="1" x14ac:dyDescent="0.25">
      <c r="B52" s="311" t="s">
        <v>39</v>
      </c>
      <c r="C52" s="312"/>
      <c r="D52" s="313"/>
      <c r="E52" s="313"/>
      <c r="F52" s="313"/>
      <c r="G52" s="313"/>
      <c r="H52" s="314"/>
    </row>
    <row r="53" spans="2:8" s="51" customFormat="1" ht="20.100000000000001" customHeight="1" x14ac:dyDescent="0.25">
      <c r="B53" s="147">
        <v>2</v>
      </c>
      <c r="C53" s="83">
        <v>30000</v>
      </c>
      <c r="D53" s="312" t="s">
        <v>40</v>
      </c>
      <c r="E53" s="312"/>
      <c r="F53" s="312"/>
      <c r="G53" s="312"/>
      <c r="H53" s="154" t="s">
        <v>11</v>
      </c>
    </row>
    <row r="54" spans="2:8" s="51" customFormat="1" ht="20.100000000000001" customHeight="1" x14ac:dyDescent="0.25">
      <c r="B54" s="175" t="s">
        <v>41</v>
      </c>
      <c r="C54" s="176">
        <v>30101</v>
      </c>
      <c r="D54" s="174" t="s">
        <v>174</v>
      </c>
      <c r="E54" s="169" t="s">
        <v>83</v>
      </c>
      <c r="F54" s="170" t="s">
        <v>42</v>
      </c>
      <c r="G54" s="170" t="s">
        <v>43</v>
      </c>
      <c r="H54" s="171">
        <f>SUM(H55:H60)</f>
        <v>127.73082140000001</v>
      </c>
    </row>
    <row r="55" spans="2:8" s="51" customFormat="1" ht="20.100000000000001" customHeight="1" x14ac:dyDescent="0.25">
      <c r="B55" s="292"/>
      <c r="C55" s="293"/>
      <c r="D55" s="50" t="s">
        <v>13</v>
      </c>
      <c r="E55" s="282" t="s">
        <v>83</v>
      </c>
      <c r="F55" s="275">
        <v>507.22</v>
      </c>
      <c r="G55" s="275">
        <v>0.01</v>
      </c>
      <c r="H55" s="151">
        <f t="shared" ref="H55:H60" si="4">(G55*F55)+(G55*F55*0.3)</f>
        <v>6.5938600000000003</v>
      </c>
    </row>
    <row r="56" spans="2:8" s="51" customFormat="1" ht="29.25" customHeight="1" x14ac:dyDescent="0.25">
      <c r="B56" s="294"/>
      <c r="C56" s="295"/>
      <c r="D56" s="50" t="s">
        <v>22</v>
      </c>
      <c r="E56" s="282" t="s">
        <v>83</v>
      </c>
      <c r="F56" s="275">
        <v>894.22</v>
      </c>
      <c r="G56" s="275">
        <v>0.01</v>
      </c>
      <c r="H56" s="151">
        <f t="shared" si="4"/>
        <v>11.62486</v>
      </c>
    </row>
    <row r="57" spans="2:8" s="51" customFormat="1" ht="19.5" customHeight="1" x14ac:dyDescent="0.25">
      <c r="B57" s="294"/>
      <c r="C57" s="295"/>
      <c r="D57" s="50" t="s">
        <v>44</v>
      </c>
      <c r="E57" s="282" t="s">
        <v>83</v>
      </c>
      <c r="F57" s="275">
        <v>1290.47</v>
      </c>
      <c r="G57" s="275">
        <v>0.05</v>
      </c>
      <c r="H57" s="151">
        <f t="shared" si="4"/>
        <v>83.880549999999999</v>
      </c>
    </row>
    <row r="58" spans="2:8" s="51" customFormat="1" ht="19.5" customHeight="1" x14ac:dyDescent="0.25">
      <c r="B58" s="294"/>
      <c r="C58" s="295"/>
      <c r="D58" s="50" t="str">
        <f>D34</f>
        <v>DEMOLIÇÃO MANUAL DE CALHA/RUFO EM CHAPA C/TR.ATÉ CB. E CARGA</v>
      </c>
      <c r="E58" s="282" t="s">
        <v>83</v>
      </c>
      <c r="F58" s="275">
        <f>H34</f>
        <v>36.64</v>
      </c>
      <c r="G58" s="275">
        <v>0.01</v>
      </c>
      <c r="H58" s="151">
        <f t="shared" si="4"/>
        <v>0.47632000000000002</v>
      </c>
    </row>
    <row r="59" spans="2:8" s="51" customFormat="1" ht="16.5" customHeight="1" x14ac:dyDescent="0.25">
      <c r="B59" s="294"/>
      <c r="C59" s="295"/>
      <c r="D59" s="50" t="str">
        <f>D43</f>
        <v>RETIRADA DE ESTRUTURA METÁLICA INCLUSIVE PERFIS DE FIXAÇÃO</v>
      </c>
      <c r="E59" s="282" t="s">
        <v>83</v>
      </c>
      <c r="F59" s="275">
        <f>H43</f>
        <v>714.16160000000002</v>
      </c>
      <c r="G59" s="275">
        <v>0.02</v>
      </c>
      <c r="H59" s="151">
        <f t="shared" si="4"/>
        <v>18.568201600000002</v>
      </c>
    </row>
    <row r="60" spans="2:8" s="51" customFormat="1" ht="16.5" customHeight="1" x14ac:dyDescent="0.25">
      <c r="B60" s="296"/>
      <c r="C60" s="297"/>
      <c r="D60" s="50" t="str">
        <f>D47</f>
        <v>DEMOLIÇÃO MANUAL DE FORRO PVC INCLUSIVE ESTRUTURA DE SUSTENTAÇÃO C/ TRANSP. ATÉ CB. E CARGA</v>
      </c>
      <c r="E60" s="52" t="str">
        <f>E47</f>
        <v>m²</v>
      </c>
      <c r="F60" s="275">
        <f>H47</f>
        <v>506.69460000000004</v>
      </c>
      <c r="G60" s="275">
        <v>0.01</v>
      </c>
      <c r="H60" s="151">
        <f t="shared" si="4"/>
        <v>6.5870298000000007</v>
      </c>
    </row>
    <row r="61" spans="2:8" s="51" customFormat="1" ht="20.100000000000001" customHeight="1" x14ac:dyDescent="0.25">
      <c r="B61" s="311" t="s">
        <v>206</v>
      </c>
      <c r="C61" s="312"/>
      <c r="D61" s="313"/>
      <c r="E61" s="313"/>
      <c r="F61" s="313"/>
      <c r="G61" s="313"/>
      <c r="H61" s="314"/>
    </row>
    <row r="62" spans="2:8" s="51" customFormat="1" ht="20.100000000000001" customHeight="1" x14ac:dyDescent="0.25">
      <c r="B62" s="147">
        <v>3</v>
      </c>
      <c r="C62" s="83">
        <v>60000</v>
      </c>
      <c r="D62" s="312" t="s">
        <v>207</v>
      </c>
      <c r="E62" s="312"/>
      <c r="F62" s="312"/>
      <c r="G62" s="312"/>
      <c r="H62" s="154" t="s">
        <v>11</v>
      </c>
    </row>
    <row r="63" spans="2:8" s="51" customFormat="1" ht="20.100000000000001" customHeight="1" x14ac:dyDescent="0.25">
      <c r="B63" s="175" t="s">
        <v>134</v>
      </c>
      <c r="C63" s="176">
        <v>67022</v>
      </c>
      <c r="D63" s="174" t="s">
        <v>205</v>
      </c>
      <c r="E63" s="169" t="s">
        <v>14</v>
      </c>
      <c r="F63" s="170" t="s">
        <v>15</v>
      </c>
      <c r="G63" s="170" t="s">
        <v>16</v>
      </c>
      <c r="H63" s="171">
        <f>SUM(H64)</f>
        <v>405.75939999999997</v>
      </c>
    </row>
    <row r="64" spans="2:8" s="51" customFormat="1" ht="16.5" customHeight="1" x14ac:dyDescent="0.25">
      <c r="B64" s="276"/>
      <c r="C64" s="277"/>
      <c r="D64" s="50" t="s">
        <v>208</v>
      </c>
      <c r="E64" s="52" t="s">
        <v>14</v>
      </c>
      <c r="F64" s="128">
        <v>22.27</v>
      </c>
      <c r="G64" s="128">
        <v>18.22</v>
      </c>
      <c r="H64" s="151">
        <f>G64*F64</f>
        <v>405.75939999999997</v>
      </c>
    </row>
    <row r="65" spans="2:8" s="51" customFormat="1" ht="20.100000000000001" customHeight="1" x14ac:dyDescent="0.25">
      <c r="B65" s="311" t="s">
        <v>256</v>
      </c>
      <c r="C65" s="312"/>
      <c r="D65" s="313"/>
      <c r="E65" s="313"/>
      <c r="F65" s="313"/>
      <c r="G65" s="313"/>
      <c r="H65" s="314"/>
    </row>
    <row r="66" spans="2:8" s="51" customFormat="1" ht="20.100000000000001" customHeight="1" x14ac:dyDescent="0.25">
      <c r="B66" s="147">
        <v>4</v>
      </c>
      <c r="C66" s="83">
        <v>70000</v>
      </c>
      <c r="D66" s="312" t="s">
        <v>257</v>
      </c>
      <c r="E66" s="312"/>
      <c r="F66" s="312"/>
      <c r="G66" s="312"/>
      <c r="H66" s="154" t="s">
        <v>11</v>
      </c>
    </row>
    <row r="67" spans="2:8" s="51" customFormat="1" ht="19.5" customHeight="1" x14ac:dyDescent="0.25">
      <c r="B67" s="175" t="s">
        <v>164</v>
      </c>
      <c r="C67" s="176">
        <v>70580</v>
      </c>
      <c r="D67" s="244" t="s">
        <v>229</v>
      </c>
      <c r="E67" s="178" t="s">
        <v>60</v>
      </c>
      <c r="F67" s="315" t="s">
        <v>15</v>
      </c>
      <c r="G67" s="315"/>
      <c r="H67" s="179">
        <f>H68</f>
        <v>300</v>
      </c>
    </row>
    <row r="68" spans="2:8" s="51" customFormat="1" ht="16.5" customHeight="1" x14ac:dyDescent="0.25">
      <c r="B68" s="276"/>
      <c r="C68" s="277"/>
      <c r="D68" s="50" t="s">
        <v>232</v>
      </c>
      <c r="E68" s="52" t="s">
        <v>60</v>
      </c>
      <c r="F68" s="298">
        <v>300</v>
      </c>
      <c r="G68" s="299"/>
      <c r="H68" s="151">
        <f>F68</f>
        <v>300</v>
      </c>
    </row>
    <row r="69" spans="2:8" s="51" customFormat="1" ht="19.5" customHeight="1" x14ac:dyDescent="0.25">
      <c r="B69" s="175" t="s">
        <v>210</v>
      </c>
      <c r="C69" s="176">
        <v>70581</v>
      </c>
      <c r="D69" s="244" t="s">
        <v>230</v>
      </c>
      <c r="E69" s="178" t="s">
        <v>60</v>
      </c>
      <c r="F69" s="315" t="s">
        <v>15</v>
      </c>
      <c r="G69" s="315"/>
      <c r="H69" s="179">
        <f>H70</f>
        <v>200</v>
      </c>
    </row>
    <row r="70" spans="2:8" s="51" customFormat="1" ht="16.5" customHeight="1" x14ac:dyDescent="0.25">
      <c r="B70" s="276"/>
      <c r="C70" s="277"/>
      <c r="D70" s="50" t="s">
        <v>232</v>
      </c>
      <c r="E70" s="52" t="s">
        <v>60</v>
      </c>
      <c r="F70" s="298">
        <v>200</v>
      </c>
      <c r="G70" s="299"/>
      <c r="H70" s="151">
        <f>F70</f>
        <v>200</v>
      </c>
    </row>
    <row r="71" spans="2:8" s="51" customFormat="1" ht="19.5" customHeight="1" x14ac:dyDescent="0.25">
      <c r="B71" s="175" t="s">
        <v>211</v>
      </c>
      <c r="C71" s="176">
        <v>70582</v>
      </c>
      <c r="D71" s="244" t="s">
        <v>231</v>
      </c>
      <c r="E71" s="178" t="s">
        <v>60</v>
      </c>
      <c r="F71" s="315" t="s">
        <v>15</v>
      </c>
      <c r="G71" s="315"/>
      <c r="H71" s="179">
        <f>H72</f>
        <v>200</v>
      </c>
    </row>
    <row r="72" spans="2:8" s="51" customFormat="1" ht="16.5" customHeight="1" x14ac:dyDescent="0.25">
      <c r="B72" s="276"/>
      <c r="C72" s="277"/>
      <c r="D72" s="50" t="s">
        <v>232</v>
      </c>
      <c r="E72" s="52" t="s">
        <v>60</v>
      </c>
      <c r="F72" s="298">
        <v>200</v>
      </c>
      <c r="G72" s="299"/>
      <c r="H72" s="151">
        <f>F72</f>
        <v>200</v>
      </c>
    </row>
    <row r="73" spans="2:8" s="51" customFormat="1" ht="19.5" customHeight="1" x14ac:dyDescent="0.25">
      <c r="B73" s="311" t="s">
        <v>188</v>
      </c>
      <c r="C73" s="312"/>
      <c r="D73" s="313"/>
      <c r="E73" s="313"/>
      <c r="F73" s="313"/>
      <c r="G73" s="313"/>
      <c r="H73" s="314"/>
    </row>
    <row r="74" spans="2:8" s="51" customFormat="1" ht="19.5" customHeight="1" x14ac:dyDescent="0.25">
      <c r="B74" s="147">
        <v>5</v>
      </c>
      <c r="C74" s="83">
        <v>80000</v>
      </c>
      <c r="D74" s="354" t="s">
        <v>189</v>
      </c>
      <c r="E74" s="355"/>
      <c r="F74" s="355"/>
      <c r="G74" s="356"/>
      <c r="H74" s="154" t="s">
        <v>11</v>
      </c>
    </row>
    <row r="75" spans="2:8" s="51" customFormat="1" ht="19.5" customHeight="1" x14ac:dyDescent="0.25">
      <c r="B75" s="175" t="s">
        <v>167</v>
      </c>
      <c r="C75" s="176">
        <v>82304</v>
      </c>
      <c r="D75" s="244" t="s">
        <v>190</v>
      </c>
      <c r="E75" s="178" t="s">
        <v>60</v>
      </c>
      <c r="F75" s="315" t="s">
        <v>53</v>
      </c>
      <c r="G75" s="315"/>
      <c r="H75" s="179">
        <f>H76</f>
        <v>66</v>
      </c>
    </row>
    <row r="76" spans="2:8" s="51" customFormat="1" ht="19.5" customHeight="1" x14ac:dyDescent="0.25">
      <c r="B76" s="320"/>
      <c r="C76" s="321"/>
      <c r="D76" s="56" t="s">
        <v>191</v>
      </c>
      <c r="E76" s="53" t="s">
        <v>60</v>
      </c>
      <c r="F76" s="291">
        <v>66</v>
      </c>
      <c r="G76" s="291"/>
      <c r="H76" s="155">
        <f>F76</f>
        <v>66</v>
      </c>
    </row>
    <row r="77" spans="2:8" s="51" customFormat="1" ht="19.5" customHeight="1" x14ac:dyDescent="0.25">
      <c r="B77" s="175" t="s">
        <v>168</v>
      </c>
      <c r="C77" s="176">
        <v>82332</v>
      </c>
      <c r="D77" s="244" t="s">
        <v>192</v>
      </c>
      <c r="E77" s="178" t="s">
        <v>60</v>
      </c>
      <c r="F77" s="315" t="s">
        <v>53</v>
      </c>
      <c r="G77" s="315"/>
      <c r="H77" s="179">
        <f>H78</f>
        <v>3</v>
      </c>
    </row>
    <row r="78" spans="2:8" s="51" customFormat="1" ht="19.5" customHeight="1" x14ac:dyDescent="0.25">
      <c r="B78" s="320"/>
      <c r="C78" s="321"/>
      <c r="D78" s="56" t="s">
        <v>191</v>
      </c>
      <c r="E78" s="53" t="s">
        <v>60</v>
      </c>
      <c r="F78" s="291">
        <v>3</v>
      </c>
      <c r="G78" s="291"/>
      <c r="H78" s="155">
        <f>F78</f>
        <v>3</v>
      </c>
    </row>
    <row r="79" spans="2:8" s="51" customFormat="1" ht="20.100000000000001" customHeight="1" x14ac:dyDescent="0.25">
      <c r="B79" s="175" t="s">
        <v>235</v>
      </c>
      <c r="C79" s="176" t="s">
        <v>193</v>
      </c>
      <c r="D79" s="244" t="s">
        <v>194</v>
      </c>
      <c r="E79" s="178" t="s">
        <v>195</v>
      </c>
      <c r="F79" s="315" t="s">
        <v>196</v>
      </c>
      <c r="G79" s="315"/>
      <c r="H79" s="179">
        <f>H80</f>
        <v>36</v>
      </c>
    </row>
    <row r="80" spans="2:8" s="51" customFormat="1" ht="20.100000000000001" customHeight="1" x14ac:dyDescent="0.25">
      <c r="B80" s="320"/>
      <c r="C80" s="321"/>
      <c r="D80" s="56" t="s">
        <v>191</v>
      </c>
      <c r="E80" s="53" t="s">
        <v>195</v>
      </c>
      <c r="F80" s="291">
        <v>36</v>
      </c>
      <c r="G80" s="291"/>
      <c r="H80" s="155">
        <f>F80</f>
        <v>36</v>
      </c>
    </row>
    <row r="81" spans="1:8" s="51" customFormat="1" ht="30" customHeight="1" x14ac:dyDescent="0.25">
      <c r="B81" s="175" t="s">
        <v>236</v>
      </c>
      <c r="C81" s="176" t="s">
        <v>197</v>
      </c>
      <c r="D81" s="177" t="e">
        <f>#REF!</f>
        <v>#REF!</v>
      </c>
      <c r="E81" s="178" t="s">
        <v>195</v>
      </c>
      <c r="F81" s="315" t="s">
        <v>196</v>
      </c>
      <c r="G81" s="315"/>
      <c r="H81" s="179">
        <f>H82</f>
        <v>94</v>
      </c>
    </row>
    <row r="82" spans="1:8" s="51" customFormat="1" ht="20.100000000000001" customHeight="1" x14ac:dyDescent="0.25">
      <c r="B82" s="320"/>
      <c r="C82" s="321"/>
      <c r="D82" s="56" t="s">
        <v>191</v>
      </c>
      <c r="E82" s="53" t="s">
        <v>195</v>
      </c>
      <c r="F82" s="291">
        <v>94</v>
      </c>
      <c r="G82" s="291"/>
      <c r="H82" s="155">
        <f>F82</f>
        <v>94</v>
      </c>
    </row>
    <row r="83" spans="1:8" s="51" customFormat="1" ht="15.75" customHeight="1" x14ac:dyDescent="0.25">
      <c r="B83" s="175" t="s">
        <v>237</v>
      </c>
      <c r="C83" s="176">
        <v>81829</v>
      </c>
      <c r="D83" s="177" t="s">
        <v>198</v>
      </c>
      <c r="E83" s="178" t="s">
        <v>14</v>
      </c>
      <c r="F83" s="181" t="s">
        <v>15</v>
      </c>
      <c r="G83" s="181" t="s">
        <v>16</v>
      </c>
      <c r="H83" s="179">
        <f>H84</f>
        <v>0.25</v>
      </c>
    </row>
    <row r="84" spans="1:8" s="51" customFormat="1" ht="20.100000000000001" customHeight="1" x14ac:dyDescent="0.25">
      <c r="B84" s="281"/>
      <c r="C84" s="282"/>
      <c r="D84" s="56" t="s">
        <v>191</v>
      </c>
      <c r="E84" s="53" t="s">
        <v>14</v>
      </c>
      <c r="F84" s="275">
        <v>0.5</v>
      </c>
      <c r="G84" s="275">
        <v>0.5</v>
      </c>
      <c r="H84" s="155">
        <f>G84*F84</f>
        <v>0.25</v>
      </c>
    </row>
    <row r="85" spans="1:8" s="51" customFormat="1" ht="15.75" customHeight="1" x14ac:dyDescent="0.25">
      <c r="B85" s="175" t="s">
        <v>249</v>
      </c>
      <c r="C85" s="176">
        <v>81938</v>
      </c>
      <c r="D85" s="177" t="s">
        <v>250</v>
      </c>
      <c r="E85" s="178" t="s">
        <v>195</v>
      </c>
      <c r="F85" s="307" t="s">
        <v>196</v>
      </c>
      <c r="G85" s="308"/>
      <c r="H85" s="179">
        <f>H86</f>
        <v>45</v>
      </c>
    </row>
    <row r="86" spans="1:8" s="51" customFormat="1" ht="20.100000000000001" customHeight="1" x14ac:dyDescent="0.25">
      <c r="B86" s="281"/>
      <c r="C86" s="282"/>
      <c r="D86" s="56" t="s">
        <v>191</v>
      </c>
      <c r="E86" s="53" t="s">
        <v>195</v>
      </c>
      <c r="F86" s="309">
        <v>45</v>
      </c>
      <c r="G86" s="310"/>
      <c r="H86" s="155">
        <f>F86</f>
        <v>45</v>
      </c>
    </row>
    <row r="87" spans="1:8" s="51" customFormat="1" ht="15.75" customHeight="1" x14ac:dyDescent="0.25">
      <c r="B87" s="175" t="s">
        <v>262</v>
      </c>
      <c r="C87" s="176">
        <v>82004</v>
      </c>
      <c r="D87" s="177" t="s">
        <v>263</v>
      </c>
      <c r="E87" s="178" t="s">
        <v>195</v>
      </c>
      <c r="F87" s="307" t="s">
        <v>196</v>
      </c>
      <c r="G87" s="308"/>
      <c r="H87" s="179">
        <f>H88</f>
        <v>10</v>
      </c>
    </row>
    <row r="88" spans="1:8" s="51" customFormat="1" ht="20.100000000000001" customHeight="1" x14ac:dyDescent="0.25">
      <c r="B88" s="281"/>
      <c r="C88" s="282"/>
      <c r="D88" s="56" t="s">
        <v>191</v>
      </c>
      <c r="E88" s="53" t="s">
        <v>195</v>
      </c>
      <c r="F88" s="309">
        <v>10</v>
      </c>
      <c r="G88" s="310"/>
      <c r="H88" s="155">
        <f>F88</f>
        <v>10</v>
      </c>
    </row>
    <row r="89" spans="1:8" s="51" customFormat="1" ht="15.75" x14ac:dyDescent="0.25">
      <c r="B89" s="311" t="s">
        <v>45</v>
      </c>
      <c r="C89" s="312"/>
      <c r="D89" s="313"/>
      <c r="E89" s="313"/>
      <c r="F89" s="313"/>
      <c r="G89" s="313"/>
      <c r="H89" s="314"/>
    </row>
    <row r="90" spans="1:8" s="51" customFormat="1" ht="20.100000000000001" customHeight="1" x14ac:dyDescent="0.25">
      <c r="B90" s="147">
        <v>6</v>
      </c>
      <c r="C90" s="83">
        <v>100000</v>
      </c>
      <c r="D90" s="312" t="s">
        <v>46</v>
      </c>
      <c r="E90" s="312"/>
      <c r="F90" s="312"/>
      <c r="G90" s="312"/>
      <c r="H90" s="154" t="s">
        <v>47</v>
      </c>
    </row>
    <row r="91" spans="1:8" s="51" customFormat="1" ht="15.75" x14ac:dyDescent="0.25">
      <c r="A91" s="80"/>
      <c r="B91" s="175" t="s">
        <v>169</v>
      </c>
      <c r="C91" s="176">
        <v>100160</v>
      </c>
      <c r="D91" s="177" t="s">
        <v>48</v>
      </c>
      <c r="E91" s="178" t="s">
        <v>14</v>
      </c>
      <c r="F91" s="278" t="s">
        <v>53</v>
      </c>
      <c r="G91" s="278" t="s">
        <v>158</v>
      </c>
      <c r="H91" s="179">
        <f>SUM(H92:H99)</f>
        <v>205.79400000000004</v>
      </c>
    </row>
    <row r="92" spans="1:8" s="51" customFormat="1" ht="15.75" customHeight="1" x14ac:dyDescent="0.25">
      <c r="A92" s="80"/>
      <c r="B92" s="348"/>
      <c r="C92" s="349"/>
      <c r="D92" s="240" t="s">
        <v>159</v>
      </c>
      <c r="E92" s="282" t="s">
        <v>14</v>
      </c>
      <c r="F92" s="282">
        <v>22.4</v>
      </c>
      <c r="G92" s="282">
        <v>0.3</v>
      </c>
      <c r="H92" s="283">
        <f>G92*F92</f>
        <v>6.72</v>
      </c>
    </row>
    <row r="93" spans="1:8" s="51" customFormat="1" ht="15" customHeight="1" x14ac:dyDescent="0.25">
      <c r="A93" s="80"/>
      <c r="B93" s="350"/>
      <c r="C93" s="351"/>
      <c r="D93" s="184" t="s">
        <v>160</v>
      </c>
      <c r="E93" s="282" t="s">
        <v>14</v>
      </c>
      <c r="F93" s="185">
        <f>22.4+1.3</f>
        <v>23.7</v>
      </c>
      <c r="G93" s="185">
        <v>0.5</v>
      </c>
      <c r="H93" s="283">
        <f>G93*F93*2</f>
        <v>23.7</v>
      </c>
    </row>
    <row r="94" spans="1:8" s="51" customFormat="1" ht="15" customHeight="1" x14ac:dyDescent="0.25">
      <c r="A94" s="80"/>
      <c r="B94" s="350"/>
      <c r="C94" s="351"/>
      <c r="D94" s="184" t="s">
        <v>161</v>
      </c>
      <c r="E94" s="282" t="s">
        <v>14</v>
      </c>
      <c r="F94" s="185">
        <f>22.4+1.1</f>
        <v>23.5</v>
      </c>
      <c r="G94" s="185">
        <v>0.5</v>
      </c>
      <c r="H94" s="283">
        <f>G94*F94*2</f>
        <v>23.5</v>
      </c>
    </row>
    <row r="95" spans="1:8" s="51" customFormat="1" ht="15" customHeight="1" x14ac:dyDescent="0.25">
      <c r="A95" s="80"/>
      <c r="B95" s="350"/>
      <c r="C95" s="351"/>
      <c r="D95" s="184" t="s">
        <v>200</v>
      </c>
      <c r="E95" s="282" t="s">
        <v>14</v>
      </c>
      <c r="F95" s="185">
        <v>16.53</v>
      </c>
      <c r="G95" s="185">
        <v>0.5</v>
      </c>
      <c r="H95" s="283">
        <f>2*G95*F95*2</f>
        <v>33.06</v>
      </c>
    </row>
    <row r="96" spans="1:8" s="51" customFormat="1" ht="15.75" customHeight="1" x14ac:dyDescent="0.25">
      <c r="A96" s="80"/>
      <c r="B96" s="350"/>
      <c r="C96" s="351"/>
      <c r="D96" s="184" t="s">
        <v>162</v>
      </c>
      <c r="E96" s="282" t="s">
        <v>14</v>
      </c>
      <c r="F96" s="185">
        <f>45.45+(6.22*2)</f>
        <v>57.89</v>
      </c>
      <c r="G96" s="185">
        <v>0.45</v>
      </c>
      <c r="H96" s="274">
        <f>G96*F96*2</f>
        <v>52.100999999999999</v>
      </c>
    </row>
    <row r="97" spans="1:8" s="51" customFormat="1" ht="15.75" customHeight="1" x14ac:dyDescent="0.25">
      <c r="A97" s="80"/>
      <c r="B97" s="350"/>
      <c r="C97" s="351"/>
      <c r="D97" s="184" t="s">
        <v>163</v>
      </c>
      <c r="E97" s="282" t="s">
        <v>14</v>
      </c>
      <c r="F97" s="185">
        <v>45.45</v>
      </c>
      <c r="G97" s="185">
        <v>0.45</v>
      </c>
      <c r="H97" s="274">
        <f>G97*F97*2</f>
        <v>40.905000000000001</v>
      </c>
    </row>
    <row r="98" spans="1:8" s="51" customFormat="1" ht="15.75" customHeight="1" x14ac:dyDescent="0.25">
      <c r="A98" s="80"/>
      <c r="B98" s="350"/>
      <c r="C98" s="351"/>
      <c r="D98" s="184" t="s">
        <v>165</v>
      </c>
      <c r="E98" s="282" t="s">
        <v>14</v>
      </c>
      <c r="F98" s="185">
        <f>11.06+4.65+4.65</f>
        <v>20.36</v>
      </c>
      <c r="G98" s="185">
        <v>0.4</v>
      </c>
      <c r="H98" s="283">
        <f>G98*F98*2</f>
        <v>16.288</v>
      </c>
    </row>
    <row r="99" spans="1:8" s="51" customFormat="1" ht="15.75" customHeight="1" x14ac:dyDescent="0.25">
      <c r="A99" s="80"/>
      <c r="B99" s="352"/>
      <c r="C99" s="353"/>
      <c r="D99" s="184" t="s">
        <v>166</v>
      </c>
      <c r="E99" s="282" t="s">
        <v>14</v>
      </c>
      <c r="F99" s="185">
        <f>3.9+8</f>
        <v>11.9</v>
      </c>
      <c r="G99" s="185">
        <v>0.4</v>
      </c>
      <c r="H99" s="283">
        <f>G99*F99*2</f>
        <v>9.5200000000000014</v>
      </c>
    </row>
    <row r="100" spans="1:8" s="51" customFormat="1" ht="15.75" x14ac:dyDescent="0.25">
      <c r="B100" s="311" t="s">
        <v>212</v>
      </c>
      <c r="C100" s="312"/>
      <c r="D100" s="313"/>
      <c r="E100" s="313"/>
      <c r="F100" s="313"/>
      <c r="G100" s="313"/>
      <c r="H100" s="314"/>
    </row>
    <row r="101" spans="1:8" s="51" customFormat="1" ht="20.100000000000001" customHeight="1" x14ac:dyDescent="0.25">
      <c r="B101" s="147">
        <v>7</v>
      </c>
      <c r="C101" s="83">
        <v>120000</v>
      </c>
      <c r="D101" s="312" t="s">
        <v>213</v>
      </c>
      <c r="E101" s="312"/>
      <c r="F101" s="312"/>
      <c r="G101" s="312"/>
      <c r="H101" s="154" t="s">
        <v>47</v>
      </c>
    </row>
    <row r="102" spans="1:8" s="51" customFormat="1" ht="15.75" x14ac:dyDescent="0.25">
      <c r="A102" s="80"/>
      <c r="B102" s="175" t="s">
        <v>173</v>
      </c>
      <c r="C102" s="176" t="s">
        <v>215</v>
      </c>
      <c r="D102" s="180" t="s">
        <v>214</v>
      </c>
      <c r="E102" s="178" t="s">
        <v>14</v>
      </c>
      <c r="F102" s="278" t="s">
        <v>53</v>
      </c>
      <c r="G102" s="278" t="s">
        <v>158</v>
      </c>
      <c r="H102" s="179">
        <f>SUM(H103)</f>
        <v>381.34</v>
      </c>
    </row>
    <row r="103" spans="1:8" s="51" customFormat="1" ht="15.75" customHeight="1" x14ac:dyDescent="0.25">
      <c r="A103" s="80"/>
      <c r="B103" s="284"/>
      <c r="C103" s="280"/>
      <c r="D103" s="50" t="s">
        <v>208</v>
      </c>
      <c r="E103" s="52" t="s">
        <v>14</v>
      </c>
      <c r="F103" s="128">
        <v>23</v>
      </c>
      <c r="G103" s="128">
        <v>16.579999999999998</v>
      </c>
      <c r="H103" s="151">
        <f>G103*F103</f>
        <v>381.34</v>
      </c>
    </row>
    <row r="104" spans="1:8" s="51" customFormat="1" ht="29.25" customHeight="1" x14ac:dyDescent="0.25">
      <c r="B104" s="311" t="s">
        <v>49</v>
      </c>
      <c r="C104" s="312"/>
      <c r="D104" s="313"/>
      <c r="E104" s="313"/>
      <c r="F104" s="313"/>
      <c r="G104" s="313"/>
      <c r="H104" s="314"/>
    </row>
    <row r="105" spans="1:8" s="51" customFormat="1" ht="20.100000000000001" customHeight="1" x14ac:dyDescent="0.25">
      <c r="B105" s="147">
        <v>8</v>
      </c>
      <c r="C105" s="83">
        <v>140000</v>
      </c>
      <c r="D105" s="303" t="s">
        <v>50</v>
      </c>
      <c r="E105" s="301"/>
      <c r="F105" s="301"/>
      <c r="G105" s="304"/>
      <c r="H105" s="154" t="s">
        <v>11</v>
      </c>
    </row>
    <row r="106" spans="1:8" s="51" customFormat="1" ht="47.25" customHeight="1" x14ac:dyDescent="0.25">
      <c r="B106" s="175" t="s">
        <v>176</v>
      </c>
      <c r="C106" s="176" t="s">
        <v>51</v>
      </c>
      <c r="D106" s="180" t="s">
        <v>52</v>
      </c>
      <c r="E106" s="181" t="s">
        <v>14</v>
      </c>
      <c r="F106" s="278" t="s">
        <v>53</v>
      </c>
      <c r="G106" s="278" t="s">
        <v>16</v>
      </c>
      <c r="H106" s="179">
        <f>SUM(H107:H112)</f>
        <v>975.21130000000005</v>
      </c>
    </row>
    <row r="107" spans="1:8" s="51" customFormat="1" ht="20.100000000000001" customHeight="1" x14ac:dyDescent="0.25">
      <c r="B107" s="152"/>
      <c r="C107" s="119"/>
      <c r="D107" s="50" t="s">
        <v>29</v>
      </c>
      <c r="E107" s="52" t="s">
        <v>14</v>
      </c>
      <c r="F107" s="165">
        <v>10.7</v>
      </c>
      <c r="G107" s="165">
        <v>5.48</v>
      </c>
      <c r="H107" s="151">
        <f>G107*F107-(4.37*8.22)</f>
        <v>22.714599999999997</v>
      </c>
    </row>
    <row r="108" spans="1:8" s="51" customFormat="1" ht="20.100000000000001" customHeight="1" x14ac:dyDescent="0.25">
      <c r="B108" s="153"/>
      <c r="C108" s="120"/>
      <c r="D108" s="50" t="s">
        <v>30</v>
      </c>
      <c r="E108" s="52" t="s">
        <v>14</v>
      </c>
      <c r="F108" s="165">
        <v>4.37</v>
      </c>
      <c r="G108" s="165">
        <v>8.2200000000000006</v>
      </c>
      <c r="H108" s="151">
        <f>G108*F108</f>
        <v>35.921400000000006</v>
      </c>
    </row>
    <row r="109" spans="1:8" s="51" customFormat="1" ht="20.100000000000001" customHeight="1" x14ac:dyDescent="0.25">
      <c r="B109" s="153"/>
      <c r="C109" s="120"/>
      <c r="D109" s="50" t="s">
        <v>23</v>
      </c>
      <c r="E109" s="52" t="s">
        <v>14</v>
      </c>
      <c r="F109" s="128">
        <v>22.27</v>
      </c>
      <c r="G109" s="128">
        <v>18.22</v>
      </c>
      <c r="H109" s="150">
        <f>G109*F109-(5.53*1.45+10.65*4.76)</f>
        <v>347.04689999999994</v>
      </c>
    </row>
    <row r="110" spans="1:8" s="51" customFormat="1" ht="20.100000000000001" customHeight="1" x14ac:dyDescent="0.25">
      <c r="B110" s="153"/>
      <c r="C110" s="120"/>
      <c r="D110" s="50" t="s">
        <v>19</v>
      </c>
      <c r="E110" s="52" t="s">
        <v>14</v>
      </c>
      <c r="F110" s="165">
        <v>45.26</v>
      </c>
      <c r="G110" s="165">
        <v>5.79</v>
      </c>
      <c r="H110" s="150">
        <f t="shared" ref="H110:H112" si="5">G110*F110</f>
        <v>262.05539999999996</v>
      </c>
    </row>
    <row r="111" spans="1:8" s="51" customFormat="1" ht="20.100000000000001" customHeight="1" x14ac:dyDescent="0.25">
      <c r="B111" s="153"/>
      <c r="C111" s="120"/>
      <c r="D111" s="50" t="s">
        <v>20</v>
      </c>
      <c r="E111" s="52" t="s">
        <v>14</v>
      </c>
      <c r="F111" s="165">
        <v>39</v>
      </c>
      <c r="G111" s="165">
        <v>6.19</v>
      </c>
      <c r="H111" s="150">
        <f t="shared" si="5"/>
        <v>241.41000000000003</v>
      </c>
    </row>
    <row r="112" spans="1:8" s="51" customFormat="1" ht="20.100000000000001" customHeight="1" x14ac:dyDescent="0.25">
      <c r="B112" s="221"/>
      <c r="C112" s="222"/>
      <c r="D112" s="50" t="s">
        <v>28</v>
      </c>
      <c r="E112" s="52" t="s">
        <v>14</v>
      </c>
      <c r="F112" s="165">
        <v>5.7</v>
      </c>
      <c r="G112" s="165">
        <v>11.59</v>
      </c>
      <c r="H112" s="150">
        <f t="shared" si="5"/>
        <v>66.063000000000002</v>
      </c>
    </row>
    <row r="113" spans="2:8" s="51" customFormat="1" ht="27.75" customHeight="1" x14ac:dyDescent="0.25">
      <c r="B113" s="175" t="s">
        <v>177</v>
      </c>
      <c r="C113" s="176">
        <v>140202</v>
      </c>
      <c r="D113" s="180" t="s">
        <v>146</v>
      </c>
      <c r="E113" s="181" t="s">
        <v>14</v>
      </c>
      <c r="F113" s="278" t="s">
        <v>53</v>
      </c>
      <c r="G113" s="278" t="s">
        <v>16</v>
      </c>
      <c r="H113" s="179">
        <f>SUM(H114:H117)</f>
        <v>137.59020000000001</v>
      </c>
    </row>
    <row r="114" spans="2:8" s="51" customFormat="1" ht="20.100000000000001" customHeight="1" x14ac:dyDescent="0.25">
      <c r="B114" s="152"/>
      <c r="C114" s="119"/>
      <c r="D114" s="50" t="s">
        <v>147</v>
      </c>
      <c r="E114" s="52" t="s">
        <v>14</v>
      </c>
      <c r="F114" s="165">
        <v>6.73</v>
      </c>
      <c r="G114" s="165">
        <v>2.92</v>
      </c>
      <c r="H114" s="150">
        <f>G114*F114*2+(2.92+4.85)</f>
        <v>47.0732</v>
      </c>
    </row>
    <row r="115" spans="2:8" s="51" customFormat="1" ht="20.100000000000001" customHeight="1" x14ac:dyDescent="0.25">
      <c r="B115" s="153"/>
      <c r="C115" s="120"/>
      <c r="D115" s="50" t="s">
        <v>148</v>
      </c>
      <c r="E115" s="52" t="s">
        <v>14</v>
      </c>
      <c r="F115" s="165">
        <v>6</v>
      </c>
      <c r="G115" s="165">
        <v>1.85</v>
      </c>
      <c r="H115" s="150">
        <f>(3.64*1.84)+G115*F115*3</f>
        <v>39.997600000000006</v>
      </c>
    </row>
    <row r="116" spans="2:8" s="51" customFormat="1" ht="20.100000000000001" customHeight="1" x14ac:dyDescent="0.25">
      <c r="B116" s="153"/>
      <c r="C116" s="120"/>
      <c r="D116" s="50" t="s">
        <v>149</v>
      </c>
      <c r="E116" s="52" t="s">
        <v>14</v>
      </c>
      <c r="F116" s="165">
        <v>6</v>
      </c>
      <c r="G116" s="165">
        <v>1.4</v>
      </c>
      <c r="H116" s="150">
        <f>(3.3*1.4)+G116*F116</f>
        <v>13.019999999999998</v>
      </c>
    </row>
    <row r="117" spans="2:8" s="51" customFormat="1" ht="20.100000000000001" customHeight="1" x14ac:dyDescent="0.25">
      <c r="B117" s="221"/>
      <c r="C117" s="222"/>
      <c r="D117" s="50" t="s">
        <v>17</v>
      </c>
      <c r="E117" s="52" t="s">
        <v>14</v>
      </c>
      <c r="F117" s="165">
        <v>15.06</v>
      </c>
      <c r="G117" s="165">
        <v>2.4900000000000002</v>
      </c>
      <c r="H117" s="150">
        <f t="shared" ref="H117" si="6">G117*F117</f>
        <v>37.499400000000001</v>
      </c>
    </row>
    <row r="118" spans="2:8" s="51" customFormat="1" ht="20.100000000000001" customHeight="1" x14ac:dyDescent="0.25">
      <c r="B118" s="311" t="s">
        <v>54</v>
      </c>
      <c r="C118" s="312"/>
      <c r="D118" s="313"/>
      <c r="E118" s="313"/>
      <c r="F118" s="313"/>
      <c r="G118" s="313"/>
      <c r="H118" s="314"/>
    </row>
    <row r="119" spans="2:8" s="51" customFormat="1" ht="20.100000000000001" customHeight="1" x14ac:dyDescent="0.25">
      <c r="B119" s="147">
        <v>9</v>
      </c>
      <c r="C119" s="83">
        <v>160000</v>
      </c>
      <c r="D119" s="303" t="s">
        <v>55</v>
      </c>
      <c r="E119" s="301"/>
      <c r="F119" s="301"/>
      <c r="G119" s="304"/>
      <c r="H119" s="154" t="s">
        <v>11</v>
      </c>
    </row>
    <row r="120" spans="2:8" s="51" customFormat="1" ht="20.100000000000001" customHeight="1" x14ac:dyDescent="0.25">
      <c r="B120" s="175" t="s">
        <v>217</v>
      </c>
      <c r="C120" s="176">
        <v>160501</v>
      </c>
      <c r="D120" s="180" t="s">
        <v>56</v>
      </c>
      <c r="E120" s="181" t="s">
        <v>14</v>
      </c>
      <c r="F120" s="278" t="s">
        <v>53</v>
      </c>
      <c r="G120" s="278" t="s">
        <v>16</v>
      </c>
      <c r="H120" s="179">
        <f>SUM(H121:H126)</f>
        <v>1088.1242</v>
      </c>
    </row>
    <row r="121" spans="2:8" s="51" customFormat="1" ht="20.100000000000001" customHeight="1" x14ac:dyDescent="0.25">
      <c r="B121" s="152"/>
      <c r="C121" s="119"/>
      <c r="D121" s="50" t="s">
        <v>23</v>
      </c>
      <c r="E121" s="282" t="s">
        <v>14</v>
      </c>
      <c r="F121" s="275">
        <f>F27</f>
        <v>22.27</v>
      </c>
      <c r="G121" s="275">
        <f>G27</f>
        <v>18.22</v>
      </c>
      <c r="H121" s="151">
        <f>G121*F121+(G121+F121)*0.1</f>
        <v>409.80839999999995</v>
      </c>
    </row>
    <row r="122" spans="2:8" s="51" customFormat="1" ht="20.100000000000001" customHeight="1" x14ac:dyDescent="0.25">
      <c r="B122" s="153"/>
      <c r="C122" s="120"/>
      <c r="D122" s="50" t="s">
        <v>19</v>
      </c>
      <c r="E122" s="282" t="s">
        <v>14</v>
      </c>
      <c r="F122" s="275">
        <f t="shared" ref="F122:G124" si="7">F29</f>
        <v>45.26</v>
      </c>
      <c r="G122" s="275">
        <f t="shared" si="7"/>
        <v>5.79</v>
      </c>
      <c r="H122" s="151">
        <f t="shared" ref="H122:H126" si="8">G122*F122+(G122+F122)*0.1</f>
        <v>267.16039999999998</v>
      </c>
    </row>
    <row r="123" spans="2:8" s="51" customFormat="1" ht="20.100000000000001" customHeight="1" x14ac:dyDescent="0.25">
      <c r="B123" s="153"/>
      <c r="C123" s="120"/>
      <c r="D123" s="50" t="s">
        <v>20</v>
      </c>
      <c r="E123" s="282" t="s">
        <v>14</v>
      </c>
      <c r="F123" s="275">
        <f t="shared" si="7"/>
        <v>39</v>
      </c>
      <c r="G123" s="275">
        <f t="shared" si="7"/>
        <v>6.19</v>
      </c>
      <c r="H123" s="151">
        <f t="shared" si="8"/>
        <v>245.92900000000003</v>
      </c>
    </row>
    <row r="124" spans="2:8" s="51" customFormat="1" ht="20.100000000000001" customHeight="1" x14ac:dyDescent="0.25">
      <c r="B124" s="153"/>
      <c r="C124" s="120"/>
      <c r="D124" s="50" t="s">
        <v>28</v>
      </c>
      <c r="E124" s="282" t="s">
        <v>14</v>
      </c>
      <c r="F124" s="275">
        <f t="shared" si="7"/>
        <v>5.7</v>
      </c>
      <c r="G124" s="275">
        <f t="shared" si="7"/>
        <v>11.59</v>
      </c>
      <c r="H124" s="151">
        <f t="shared" si="8"/>
        <v>67.792000000000002</v>
      </c>
    </row>
    <row r="125" spans="2:8" s="51" customFormat="1" ht="20.100000000000001" customHeight="1" x14ac:dyDescent="0.25">
      <c r="B125" s="153"/>
      <c r="C125" s="120"/>
      <c r="D125" s="50" t="s">
        <v>29</v>
      </c>
      <c r="E125" s="52" t="s">
        <v>14</v>
      </c>
      <c r="F125" s="165">
        <v>10.7</v>
      </c>
      <c r="G125" s="165">
        <v>5.48</v>
      </c>
      <c r="H125" s="151">
        <f t="shared" si="8"/>
        <v>60.254000000000005</v>
      </c>
    </row>
    <row r="126" spans="2:8" s="51" customFormat="1" ht="20.100000000000001" customHeight="1" x14ac:dyDescent="0.25">
      <c r="B126" s="221"/>
      <c r="C126" s="222"/>
      <c r="D126" s="50" t="s">
        <v>30</v>
      </c>
      <c r="E126" s="52" t="s">
        <v>14</v>
      </c>
      <c r="F126" s="165">
        <v>4.37</v>
      </c>
      <c r="G126" s="165">
        <v>8.2200000000000006</v>
      </c>
      <c r="H126" s="151">
        <f t="shared" si="8"/>
        <v>37.180400000000006</v>
      </c>
    </row>
    <row r="127" spans="2:8" s="51" customFormat="1" ht="20.100000000000001" customHeight="1" x14ac:dyDescent="0.25">
      <c r="B127" s="175" t="s">
        <v>218</v>
      </c>
      <c r="C127" s="176">
        <v>160401</v>
      </c>
      <c r="D127" s="180" t="s">
        <v>57</v>
      </c>
      <c r="E127" s="181" t="s">
        <v>14</v>
      </c>
      <c r="F127" s="278" t="s">
        <v>53</v>
      </c>
      <c r="G127" s="278" t="s">
        <v>16</v>
      </c>
      <c r="H127" s="179">
        <f>SUM(H128:H132)</f>
        <v>165.28320000000002</v>
      </c>
    </row>
    <row r="128" spans="2:8" s="51" customFormat="1" ht="20.100000000000001" customHeight="1" x14ac:dyDescent="0.25">
      <c r="B128" s="152"/>
      <c r="C128" s="119"/>
      <c r="D128" s="118" t="s">
        <v>17</v>
      </c>
      <c r="E128" s="52" t="s">
        <v>14</v>
      </c>
      <c r="F128" s="128">
        <v>15.06</v>
      </c>
      <c r="G128" s="128">
        <v>2.4900000000000002</v>
      </c>
      <c r="H128" s="151">
        <f>G128*F128+(G128+F128)*0.1</f>
        <v>39.254400000000004</v>
      </c>
    </row>
    <row r="129" spans="2:8" s="51" customFormat="1" ht="20.100000000000001" customHeight="1" x14ac:dyDescent="0.25">
      <c r="B129" s="153"/>
      <c r="C129" s="120"/>
      <c r="D129" s="118" t="s">
        <v>18</v>
      </c>
      <c r="E129" s="52" t="s">
        <v>14</v>
      </c>
      <c r="F129" s="128">
        <v>15.45</v>
      </c>
      <c r="G129" s="128">
        <v>8.1999999999999993</v>
      </c>
      <c r="H129" s="150">
        <f>G129*F129*20%</f>
        <v>25.337999999999997</v>
      </c>
    </row>
    <row r="130" spans="2:8" s="51" customFormat="1" ht="20.100000000000001" customHeight="1" x14ac:dyDescent="0.25">
      <c r="B130" s="153"/>
      <c r="C130" s="120"/>
      <c r="D130" s="50" t="s">
        <v>147</v>
      </c>
      <c r="E130" s="52" t="s">
        <v>14</v>
      </c>
      <c r="F130" s="165">
        <v>6.73</v>
      </c>
      <c r="G130" s="165">
        <v>2.92</v>
      </c>
      <c r="H130" s="150">
        <f>G130*F130*2+(2.92+4.85)</f>
        <v>47.0732</v>
      </c>
    </row>
    <row r="131" spans="2:8" s="51" customFormat="1" ht="20.100000000000001" customHeight="1" x14ac:dyDescent="0.25">
      <c r="B131" s="153"/>
      <c r="C131" s="120"/>
      <c r="D131" s="50" t="s">
        <v>148</v>
      </c>
      <c r="E131" s="52" t="s">
        <v>14</v>
      </c>
      <c r="F131" s="165">
        <v>6</v>
      </c>
      <c r="G131" s="165">
        <v>1.85</v>
      </c>
      <c r="H131" s="150">
        <f>(3.64*1.84)+G131*F131*3</f>
        <v>39.997600000000006</v>
      </c>
    </row>
    <row r="132" spans="2:8" s="51" customFormat="1" ht="20.100000000000001" customHeight="1" x14ac:dyDescent="0.25">
      <c r="B132" s="221"/>
      <c r="C132" s="222"/>
      <c r="D132" s="50" t="s">
        <v>149</v>
      </c>
      <c r="E132" s="52" t="s">
        <v>14</v>
      </c>
      <c r="F132" s="165">
        <v>6</v>
      </c>
      <c r="G132" s="165">
        <v>1.5</v>
      </c>
      <c r="H132" s="150">
        <f>(3.3*1.4)+G132*F132</f>
        <v>13.62</v>
      </c>
    </row>
    <row r="133" spans="2:8" s="51" customFormat="1" ht="20.100000000000001" customHeight="1" x14ac:dyDescent="0.25">
      <c r="B133" s="175" t="s">
        <v>219</v>
      </c>
      <c r="C133" s="176">
        <v>160911</v>
      </c>
      <c r="D133" s="180" t="s">
        <v>150</v>
      </c>
      <c r="E133" s="181" t="s">
        <v>14</v>
      </c>
      <c r="F133" s="278" t="s">
        <v>53</v>
      </c>
      <c r="G133" s="278" t="s">
        <v>16</v>
      </c>
      <c r="H133" s="179">
        <f>SUM(H134:H137)</f>
        <v>81.337999999999994</v>
      </c>
    </row>
    <row r="134" spans="2:8" s="51" customFormat="1" ht="20.100000000000001" customHeight="1" x14ac:dyDescent="0.25">
      <c r="B134" s="152"/>
      <c r="C134" s="119"/>
      <c r="D134" s="50" t="s">
        <v>151</v>
      </c>
      <c r="E134" s="52" t="s">
        <v>14</v>
      </c>
      <c r="F134" s="128">
        <v>2.93</v>
      </c>
      <c r="G134" s="128">
        <v>1</v>
      </c>
      <c r="H134" s="150">
        <f>G134*F134*2</f>
        <v>5.86</v>
      </c>
    </row>
    <row r="135" spans="2:8" s="51" customFormat="1" ht="20.100000000000001" customHeight="1" x14ac:dyDescent="0.25">
      <c r="B135" s="153"/>
      <c r="C135" s="120"/>
      <c r="D135" s="50" t="s">
        <v>152</v>
      </c>
      <c r="E135" s="52" t="s">
        <v>14</v>
      </c>
      <c r="F135" s="128">
        <v>1</v>
      </c>
      <c r="G135" s="128">
        <v>1.85</v>
      </c>
      <c r="H135" s="150">
        <f>G135*F135*3</f>
        <v>5.5500000000000007</v>
      </c>
    </row>
    <row r="136" spans="2:8" s="51" customFormat="1" ht="20.100000000000001" customHeight="1" x14ac:dyDescent="0.25">
      <c r="B136" s="153"/>
      <c r="C136" s="120"/>
      <c r="D136" s="50" t="s">
        <v>153</v>
      </c>
      <c r="E136" s="52" t="s">
        <v>14</v>
      </c>
      <c r="F136" s="128">
        <v>2.5</v>
      </c>
      <c r="G136" s="128">
        <v>1.5</v>
      </c>
      <c r="H136" s="150">
        <f>G136*F136</f>
        <v>3.75</v>
      </c>
    </row>
    <row r="137" spans="2:8" s="51" customFormat="1" ht="20.100000000000001" customHeight="1" x14ac:dyDescent="0.25">
      <c r="B137" s="221"/>
      <c r="C137" s="222"/>
      <c r="D137" s="50" t="s">
        <v>154</v>
      </c>
      <c r="E137" s="52" t="s">
        <v>14</v>
      </c>
      <c r="F137" s="128">
        <v>39.14</v>
      </c>
      <c r="G137" s="128">
        <v>1.45</v>
      </c>
      <c r="H137" s="150">
        <f>G137*F137+6.5*1.45</f>
        <v>66.177999999999997</v>
      </c>
    </row>
    <row r="138" spans="2:8" s="51" customFormat="1" ht="31.5" x14ac:dyDescent="0.25">
      <c r="B138" s="175" t="s">
        <v>238</v>
      </c>
      <c r="C138" s="178" t="s">
        <v>58</v>
      </c>
      <c r="D138" s="177" t="s">
        <v>59</v>
      </c>
      <c r="E138" s="178" t="s">
        <v>60</v>
      </c>
      <c r="F138" s="315" t="s">
        <v>53</v>
      </c>
      <c r="G138" s="315"/>
      <c r="H138" s="179">
        <f>SUM(H139:H146)</f>
        <v>180.74</v>
      </c>
    </row>
    <row r="139" spans="2:8" s="51" customFormat="1" ht="20.100000000000001" customHeight="1" x14ac:dyDescent="0.25">
      <c r="B139" s="152"/>
      <c r="C139" s="239"/>
      <c r="D139" s="50" t="s">
        <v>23</v>
      </c>
      <c r="E139" s="53" t="s">
        <v>60</v>
      </c>
      <c r="F139" s="316">
        <f>7.34+11.04+4.45</f>
        <v>22.83</v>
      </c>
      <c r="G139" s="317"/>
      <c r="H139" s="155">
        <f>F139</f>
        <v>22.83</v>
      </c>
    </row>
    <row r="140" spans="2:8" s="51" customFormat="1" ht="20.100000000000001" customHeight="1" x14ac:dyDescent="0.25">
      <c r="B140" s="153"/>
      <c r="C140" s="240"/>
      <c r="D140" s="50" t="s">
        <v>19</v>
      </c>
      <c r="E140" s="53" t="s">
        <v>60</v>
      </c>
      <c r="F140" s="316">
        <f>47.44+47.44+6.87+6.87</f>
        <v>108.62</v>
      </c>
      <c r="G140" s="317"/>
      <c r="H140" s="155">
        <f>F140</f>
        <v>108.62</v>
      </c>
    </row>
    <row r="141" spans="2:8" s="51" customFormat="1" ht="20.100000000000001" customHeight="1" x14ac:dyDescent="0.25">
      <c r="B141" s="153"/>
      <c r="C141" s="240"/>
      <c r="D141" s="50" t="s">
        <v>28</v>
      </c>
      <c r="E141" s="53" t="s">
        <v>60</v>
      </c>
      <c r="F141" s="316">
        <v>5.87</v>
      </c>
      <c r="G141" s="317"/>
      <c r="H141" s="155">
        <f t="shared" ref="H141:H146" si="9">F141</f>
        <v>5.87</v>
      </c>
    </row>
    <row r="142" spans="2:8" s="51" customFormat="1" ht="20.100000000000001" customHeight="1" x14ac:dyDescent="0.25">
      <c r="B142" s="153"/>
      <c r="C142" s="240"/>
      <c r="D142" s="50" t="s">
        <v>29</v>
      </c>
      <c r="E142" s="53" t="s">
        <v>60</v>
      </c>
      <c r="F142" s="316">
        <v>10.7</v>
      </c>
      <c r="G142" s="317"/>
      <c r="H142" s="155">
        <f t="shared" si="9"/>
        <v>10.7</v>
      </c>
    </row>
    <row r="143" spans="2:8" s="51" customFormat="1" ht="20.100000000000001" customHeight="1" x14ac:dyDescent="0.25">
      <c r="B143" s="153"/>
      <c r="C143" s="240"/>
      <c r="D143" s="50" t="s">
        <v>30</v>
      </c>
      <c r="E143" s="52" t="s">
        <v>14</v>
      </c>
      <c r="F143" s="316">
        <v>4.37</v>
      </c>
      <c r="G143" s="317"/>
      <c r="H143" s="155">
        <f t="shared" si="9"/>
        <v>4.37</v>
      </c>
    </row>
    <row r="144" spans="2:8" s="51" customFormat="1" ht="20.100000000000001" customHeight="1" x14ac:dyDescent="0.25">
      <c r="B144" s="153"/>
      <c r="C144" s="240"/>
      <c r="D144" s="50" t="s">
        <v>35</v>
      </c>
      <c r="E144" s="53" t="s">
        <v>60</v>
      </c>
      <c r="F144" s="316">
        <v>1.4</v>
      </c>
      <c r="G144" s="317"/>
      <c r="H144" s="155">
        <f t="shared" si="9"/>
        <v>1.4</v>
      </c>
    </row>
    <row r="145" spans="2:8" s="51" customFormat="1" ht="20.100000000000001" customHeight="1" x14ac:dyDescent="0.25">
      <c r="B145" s="153"/>
      <c r="C145" s="240"/>
      <c r="D145" s="50" t="s">
        <v>187</v>
      </c>
      <c r="E145" s="53" t="s">
        <v>60</v>
      </c>
      <c r="F145" s="316">
        <v>11.81</v>
      </c>
      <c r="G145" s="317"/>
      <c r="H145" s="155">
        <f t="shared" si="9"/>
        <v>11.81</v>
      </c>
    </row>
    <row r="146" spans="2:8" s="51" customFormat="1" ht="20.100000000000001" customHeight="1" x14ac:dyDescent="0.25">
      <c r="B146" s="221"/>
      <c r="C146" s="241"/>
      <c r="D146" s="50" t="s">
        <v>17</v>
      </c>
      <c r="E146" s="53" t="s">
        <v>60</v>
      </c>
      <c r="F146" s="316">
        <v>15.14</v>
      </c>
      <c r="G146" s="317"/>
      <c r="H146" s="155">
        <f t="shared" si="9"/>
        <v>15.14</v>
      </c>
    </row>
    <row r="147" spans="2:8" s="51" customFormat="1" ht="21" customHeight="1" x14ac:dyDescent="0.25">
      <c r="B147" s="175" t="s">
        <v>239</v>
      </c>
      <c r="C147" s="178" t="s">
        <v>183</v>
      </c>
      <c r="D147" s="180" t="s">
        <v>184</v>
      </c>
      <c r="E147" s="178" t="s">
        <v>60</v>
      </c>
      <c r="F147" s="315" t="s">
        <v>53</v>
      </c>
      <c r="G147" s="315"/>
      <c r="H147" s="179">
        <f>SUM(H148:H153)</f>
        <v>208.17000000000002</v>
      </c>
    </row>
    <row r="148" spans="2:8" s="51" customFormat="1" ht="20.100000000000001" customHeight="1" x14ac:dyDescent="0.25">
      <c r="B148" s="152"/>
      <c r="C148" s="119"/>
      <c r="D148" s="184" t="s">
        <v>202</v>
      </c>
      <c r="E148" s="53" t="s">
        <v>60</v>
      </c>
      <c r="F148" s="318">
        <v>16.579999999999998</v>
      </c>
      <c r="G148" s="319"/>
      <c r="H148" s="274">
        <f>F148*2</f>
        <v>33.159999999999997</v>
      </c>
    </row>
    <row r="149" spans="2:8" s="51" customFormat="1" ht="20.100000000000001" customHeight="1" x14ac:dyDescent="0.25">
      <c r="B149" s="153"/>
      <c r="C149" s="120"/>
      <c r="D149" s="184" t="s">
        <v>203</v>
      </c>
      <c r="E149" s="53" t="s">
        <v>60</v>
      </c>
      <c r="F149" s="318">
        <f>45.45+(6.22*4)</f>
        <v>70.33</v>
      </c>
      <c r="G149" s="319"/>
      <c r="H149" s="274">
        <f t="shared" ref="H149:H152" si="10">F149</f>
        <v>70.33</v>
      </c>
    </row>
    <row r="150" spans="2:8" s="51" customFormat="1" ht="20.100000000000001" customHeight="1" x14ac:dyDescent="0.25">
      <c r="B150" s="153"/>
      <c r="C150" s="120"/>
      <c r="D150" s="184" t="s">
        <v>204</v>
      </c>
      <c r="E150" s="53" t="s">
        <v>60</v>
      </c>
      <c r="F150" s="318">
        <f>39.3+6.42+6.42</f>
        <v>52.14</v>
      </c>
      <c r="G150" s="319"/>
      <c r="H150" s="274">
        <f t="shared" si="10"/>
        <v>52.14</v>
      </c>
    </row>
    <row r="151" spans="2:8" s="51" customFormat="1" ht="20.100000000000001" customHeight="1" x14ac:dyDescent="0.25">
      <c r="B151" s="153"/>
      <c r="C151" s="120"/>
      <c r="D151" s="184" t="s">
        <v>185</v>
      </c>
      <c r="E151" s="53" t="s">
        <v>60</v>
      </c>
      <c r="F151" s="318">
        <f>11.06+4.65+4.65</f>
        <v>20.36</v>
      </c>
      <c r="G151" s="319"/>
      <c r="H151" s="274">
        <f t="shared" si="10"/>
        <v>20.36</v>
      </c>
    </row>
    <row r="152" spans="2:8" s="51" customFormat="1" ht="20.100000000000001" customHeight="1" x14ac:dyDescent="0.25">
      <c r="B152" s="153"/>
      <c r="C152" s="120"/>
      <c r="D152" s="184" t="s">
        <v>186</v>
      </c>
      <c r="E152" s="53" t="s">
        <v>60</v>
      </c>
      <c r="F152" s="318">
        <f>3.9+8</f>
        <v>11.9</v>
      </c>
      <c r="G152" s="319"/>
      <c r="H152" s="274">
        <f t="shared" si="10"/>
        <v>11.9</v>
      </c>
    </row>
    <row r="153" spans="2:8" s="51" customFormat="1" ht="20.100000000000001" customHeight="1" x14ac:dyDescent="0.25">
      <c r="B153" s="221"/>
      <c r="C153" s="222"/>
      <c r="D153" s="220" t="s">
        <v>201</v>
      </c>
      <c r="E153" s="53" t="s">
        <v>60</v>
      </c>
      <c r="F153" s="318">
        <v>20.28</v>
      </c>
      <c r="G153" s="319"/>
      <c r="H153" s="274">
        <f t="shared" ref="H153" si="11">F153</f>
        <v>20.28</v>
      </c>
    </row>
    <row r="154" spans="2:8" s="51" customFormat="1" ht="20.100000000000001" customHeight="1" x14ac:dyDescent="0.25">
      <c r="B154" s="300" t="s">
        <v>175</v>
      </c>
      <c r="C154" s="301"/>
      <c r="D154" s="301"/>
      <c r="E154" s="301"/>
      <c r="F154" s="301"/>
      <c r="G154" s="301"/>
      <c r="H154" s="302"/>
    </row>
    <row r="155" spans="2:8" s="51" customFormat="1" ht="20.100000000000001" customHeight="1" x14ac:dyDescent="0.25">
      <c r="B155" s="147">
        <v>10</v>
      </c>
      <c r="C155" s="83">
        <v>200000</v>
      </c>
      <c r="D155" s="303" t="s">
        <v>106</v>
      </c>
      <c r="E155" s="301"/>
      <c r="F155" s="301"/>
      <c r="G155" s="304"/>
      <c r="H155" s="154" t="s">
        <v>11</v>
      </c>
    </row>
    <row r="156" spans="2:8" s="51" customFormat="1" ht="20.100000000000001" customHeight="1" x14ac:dyDescent="0.25">
      <c r="B156" s="175" t="s">
        <v>220</v>
      </c>
      <c r="C156" s="176">
        <v>200101</v>
      </c>
      <c r="D156" s="180" t="s">
        <v>253</v>
      </c>
      <c r="E156" s="181" t="s">
        <v>14</v>
      </c>
      <c r="F156" s="278" t="s">
        <v>53</v>
      </c>
      <c r="G156" s="278" t="s">
        <v>16</v>
      </c>
      <c r="H156" s="179">
        <f>SUM(H157:H163)</f>
        <v>199.07400000000001</v>
      </c>
    </row>
    <row r="157" spans="2:8" s="51" customFormat="1" ht="20.100000000000001" customHeight="1" x14ac:dyDescent="0.25">
      <c r="B157" s="292"/>
      <c r="C157" s="293"/>
      <c r="D157" s="184" t="s">
        <v>160</v>
      </c>
      <c r="E157" s="282" t="s">
        <v>14</v>
      </c>
      <c r="F157" s="185">
        <f>22.4+1.3</f>
        <v>23.7</v>
      </c>
      <c r="G157" s="185">
        <v>0.5</v>
      </c>
      <c r="H157" s="283">
        <f>G157*F157*2</f>
        <v>23.7</v>
      </c>
    </row>
    <row r="158" spans="2:8" s="51" customFormat="1" ht="20.100000000000001" customHeight="1" x14ac:dyDescent="0.25">
      <c r="B158" s="294"/>
      <c r="C158" s="295"/>
      <c r="D158" s="184" t="s">
        <v>161</v>
      </c>
      <c r="E158" s="282" t="s">
        <v>14</v>
      </c>
      <c r="F158" s="185">
        <f>22.4+1.1</f>
        <v>23.5</v>
      </c>
      <c r="G158" s="185">
        <v>0.5</v>
      </c>
      <c r="H158" s="283">
        <f>G158*F158*2</f>
        <v>23.5</v>
      </c>
    </row>
    <row r="159" spans="2:8" s="51" customFormat="1" ht="20.100000000000001" customHeight="1" x14ac:dyDescent="0.25">
      <c r="B159" s="294"/>
      <c r="C159" s="295"/>
      <c r="D159" s="184" t="s">
        <v>200</v>
      </c>
      <c r="E159" s="282" t="s">
        <v>14</v>
      </c>
      <c r="F159" s="185">
        <v>16.53</v>
      </c>
      <c r="G159" s="185">
        <v>0.5</v>
      </c>
      <c r="H159" s="283">
        <f>2*G159*F159*2</f>
        <v>33.06</v>
      </c>
    </row>
    <row r="160" spans="2:8" s="51" customFormat="1" ht="20.100000000000001" customHeight="1" x14ac:dyDescent="0.25">
      <c r="B160" s="294"/>
      <c r="C160" s="295"/>
      <c r="D160" s="184" t="s">
        <v>162</v>
      </c>
      <c r="E160" s="282" t="s">
        <v>14</v>
      </c>
      <c r="F160" s="185">
        <f>45.45+(6.22*2)</f>
        <v>57.89</v>
      </c>
      <c r="G160" s="185">
        <v>0.45</v>
      </c>
      <c r="H160" s="274">
        <f>G160*F160*2</f>
        <v>52.100999999999999</v>
      </c>
    </row>
    <row r="161" spans="2:8" s="51" customFormat="1" ht="20.100000000000001" customHeight="1" x14ac:dyDescent="0.25">
      <c r="B161" s="294"/>
      <c r="C161" s="295"/>
      <c r="D161" s="184" t="s">
        <v>163</v>
      </c>
      <c r="E161" s="282" t="s">
        <v>14</v>
      </c>
      <c r="F161" s="185">
        <v>45.45</v>
      </c>
      <c r="G161" s="185">
        <v>0.45</v>
      </c>
      <c r="H161" s="274">
        <f>G161*F161*2</f>
        <v>40.905000000000001</v>
      </c>
    </row>
    <row r="162" spans="2:8" s="51" customFormat="1" ht="20.100000000000001" customHeight="1" x14ac:dyDescent="0.25">
      <c r="B162" s="294"/>
      <c r="C162" s="295"/>
      <c r="D162" s="184" t="s">
        <v>165</v>
      </c>
      <c r="E162" s="282" t="s">
        <v>14</v>
      </c>
      <c r="F162" s="185">
        <f>11.06+4.65+4.65</f>
        <v>20.36</v>
      </c>
      <c r="G162" s="185">
        <v>0.4</v>
      </c>
      <c r="H162" s="283">
        <f>G162*F162*2</f>
        <v>16.288</v>
      </c>
    </row>
    <row r="163" spans="2:8" s="51" customFormat="1" ht="20.100000000000001" customHeight="1" x14ac:dyDescent="0.25">
      <c r="B163" s="296"/>
      <c r="C163" s="297"/>
      <c r="D163" s="184" t="s">
        <v>166</v>
      </c>
      <c r="E163" s="282" t="s">
        <v>14</v>
      </c>
      <c r="F163" s="185">
        <f>3.9+8</f>
        <v>11.9</v>
      </c>
      <c r="G163" s="185">
        <v>0.4</v>
      </c>
      <c r="H163" s="283">
        <f>G163*F163*2</f>
        <v>9.5200000000000014</v>
      </c>
    </row>
    <row r="164" spans="2:8" s="51" customFormat="1" ht="20.100000000000001" customHeight="1" x14ac:dyDescent="0.25">
      <c r="B164" s="175" t="s">
        <v>221</v>
      </c>
      <c r="C164" s="176">
        <v>200403</v>
      </c>
      <c r="D164" s="180" t="s">
        <v>252</v>
      </c>
      <c r="E164" s="181" t="s">
        <v>14</v>
      </c>
      <c r="F164" s="278" t="s">
        <v>53</v>
      </c>
      <c r="G164" s="278" t="s">
        <v>16</v>
      </c>
      <c r="H164" s="179">
        <f>SUM(H165:H171)</f>
        <v>199.07400000000001</v>
      </c>
    </row>
    <row r="165" spans="2:8" s="51" customFormat="1" ht="20.100000000000001" customHeight="1" x14ac:dyDescent="0.25">
      <c r="B165" s="292"/>
      <c r="C165" s="293"/>
      <c r="D165" s="184" t="s">
        <v>160</v>
      </c>
      <c r="E165" s="282" t="s">
        <v>14</v>
      </c>
      <c r="F165" s="185">
        <f>22.4+1.3</f>
        <v>23.7</v>
      </c>
      <c r="G165" s="185">
        <v>0.5</v>
      </c>
      <c r="H165" s="283">
        <f>G165*F165*2</f>
        <v>23.7</v>
      </c>
    </row>
    <row r="166" spans="2:8" s="51" customFormat="1" ht="20.100000000000001" customHeight="1" x14ac:dyDescent="0.25">
      <c r="B166" s="294"/>
      <c r="C166" s="295"/>
      <c r="D166" s="184" t="s">
        <v>161</v>
      </c>
      <c r="E166" s="282" t="s">
        <v>14</v>
      </c>
      <c r="F166" s="185">
        <f>22.4+1.1</f>
        <v>23.5</v>
      </c>
      <c r="G166" s="185">
        <v>0.5</v>
      </c>
      <c r="H166" s="283">
        <f>G166*F166*2</f>
        <v>23.5</v>
      </c>
    </row>
    <row r="167" spans="2:8" s="51" customFormat="1" ht="20.100000000000001" customHeight="1" x14ac:dyDescent="0.25">
      <c r="B167" s="294"/>
      <c r="C167" s="295"/>
      <c r="D167" s="184" t="s">
        <v>200</v>
      </c>
      <c r="E167" s="282" t="s">
        <v>14</v>
      </c>
      <c r="F167" s="185">
        <v>16.53</v>
      </c>
      <c r="G167" s="185">
        <v>0.5</v>
      </c>
      <c r="H167" s="283">
        <f>2*G167*F167*2</f>
        <v>33.06</v>
      </c>
    </row>
    <row r="168" spans="2:8" s="51" customFormat="1" ht="20.100000000000001" customHeight="1" x14ac:dyDescent="0.25">
      <c r="B168" s="294"/>
      <c r="C168" s="295"/>
      <c r="D168" s="184" t="s">
        <v>162</v>
      </c>
      <c r="E168" s="282" t="s">
        <v>14</v>
      </c>
      <c r="F168" s="185">
        <f>45.45+(6.22*2)</f>
        <v>57.89</v>
      </c>
      <c r="G168" s="185">
        <v>0.45</v>
      </c>
      <c r="H168" s="274">
        <f>G168*F168*2</f>
        <v>52.100999999999999</v>
      </c>
    </row>
    <row r="169" spans="2:8" s="51" customFormat="1" ht="20.100000000000001" customHeight="1" x14ac:dyDescent="0.25">
      <c r="B169" s="294"/>
      <c r="C169" s="295"/>
      <c r="D169" s="184" t="s">
        <v>163</v>
      </c>
      <c r="E169" s="282" t="s">
        <v>14</v>
      </c>
      <c r="F169" s="185">
        <v>45.45</v>
      </c>
      <c r="G169" s="185">
        <v>0.45</v>
      </c>
      <c r="H169" s="274">
        <f>G169*F169*2</f>
        <v>40.905000000000001</v>
      </c>
    </row>
    <row r="170" spans="2:8" s="51" customFormat="1" ht="20.100000000000001" customHeight="1" x14ac:dyDescent="0.25">
      <c r="B170" s="294"/>
      <c r="C170" s="295"/>
      <c r="D170" s="184" t="s">
        <v>165</v>
      </c>
      <c r="E170" s="282" t="s">
        <v>14</v>
      </c>
      <c r="F170" s="185">
        <f>11.06+4.65+4.65</f>
        <v>20.36</v>
      </c>
      <c r="G170" s="185">
        <v>0.4</v>
      </c>
      <c r="H170" s="283">
        <f>G170*F170*2</f>
        <v>16.288</v>
      </c>
    </row>
    <row r="171" spans="2:8" s="51" customFormat="1" ht="20.100000000000001" customHeight="1" x14ac:dyDescent="0.25">
      <c r="B171" s="296"/>
      <c r="C171" s="297"/>
      <c r="D171" s="184" t="s">
        <v>166</v>
      </c>
      <c r="E171" s="282" t="s">
        <v>14</v>
      </c>
      <c r="F171" s="185">
        <f>3.9+8</f>
        <v>11.9</v>
      </c>
      <c r="G171" s="185">
        <v>0.4</v>
      </c>
      <c r="H171" s="283">
        <f>G171*F171*2</f>
        <v>9.5200000000000014</v>
      </c>
    </row>
    <row r="172" spans="2:8" s="51" customFormat="1" ht="20.100000000000001" customHeight="1" x14ac:dyDescent="0.25">
      <c r="B172" s="175" t="s">
        <v>240</v>
      </c>
      <c r="C172" s="176">
        <v>200201</v>
      </c>
      <c r="D172" s="180" t="s">
        <v>251</v>
      </c>
      <c r="E172" s="181" t="s">
        <v>14</v>
      </c>
      <c r="F172" s="278" t="s">
        <v>53</v>
      </c>
      <c r="G172" s="278" t="s">
        <v>16</v>
      </c>
      <c r="H172" s="179">
        <f>SUM(H173:H179)</f>
        <v>199.07400000000001</v>
      </c>
    </row>
    <row r="173" spans="2:8" s="51" customFormat="1" ht="20.100000000000001" customHeight="1" x14ac:dyDescent="0.25">
      <c r="B173" s="320"/>
      <c r="C173" s="321"/>
      <c r="D173" s="184" t="s">
        <v>160</v>
      </c>
      <c r="E173" s="282" t="s">
        <v>14</v>
      </c>
      <c r="F173" s="185">
        <f>22.4+1.3</f>
        <v>23.7</v>
      </c>
      <c r="G173" s="185">
        <v>0.5</v>
      </c>
      <c r="H173" s="283">
        <f>G173*F173*2</f>
        <v>23.7</v>
      </c>
    </row>
    <row r="174" spans="2:8" s="51" customFormat="1" ht="20.100000000000001" customHeight="1" x14ac:dyDescent="0.25">
      <c r="B174" s="320"/>
      <c r="C174" s="321"/>
      <c r="D174" s="184" t="s">
        <v>161</v>
      </c>
      <c r="E174" s="282" t="s">
        <v>14</v>
      </c>
      <c r="F174" s="185">
        <f>22.4+1.1</f>
        <v>23.5</v>
      </c>
      <c r="G174" s="185">
        <v>0.5</v>
      </c>
      <c r="H174" s="283">
        <f>G174*F174*2</f>
        <v>23.5</v>
      </c>
    </row>
    <row r="175" spans="2:8" s="51" customFormat="1" ht="20.100000000000001" customHeight="1" x14ac:dyDescent="0.25">
      <c r="B175" s="320"/>
      <c r="C175" s="321"/>
      <c r="D175" s="184" t="s">
        <v>200</v>
      </c>
      <c r="E175" s="282" t="s">
        <v>14</v>
      </c>
      <c r="F175" s="185">
        <v>16.53</v>
      </c>
      <c r="G175" s="185">
        <v>0.5</v>
      </c>
      <c r="H175" s="283">
        <f>2*G175*F175*2</f>
        <v>33.06</v>
      </c>
    </row>
    <row r="176" spans="2:8" s="51" customFormat="1" ht="20.100000000000001" customHeight="1" x14ac:dyDescent="0.25">
      <c r="B176" s="320"/>
      <c r="C176" s="321"/>
      <c r="D176" s="184" t="s">
        <v>162</v>
      </c>
      <c r="E176" s="282" t="s">
        <v>14</v>
      </c>
      <c r="F176" s="185">
        <f>45.45+(6.22*2)</f>
        <v>57.89</v>
      </c>
      <c r="G176" s="185">
        <v>0.45</v>
      </c>
      <c r="H176" s="274">
        <f>G176*F176*2</f>
        <v>52.100999999999999</v>
      </c>
    </row>
    <row r="177" spans="2:8" s="51" customFormat="1" ht="20.100000000000001" customHeight="1" x14ac:dyDescent="0.25">
      <c r="B177" s="320"/>
      <c r="C177" s="321"/>
      <c r="D177" s="184" t="s">
        <v>163</v>
      </c>
      <c r="E177" s="282" t="s">
        <v>14</v>
      </c>
      <c r="F177" s="185">
        <v>45.45</v>
      </c>
      <c r="G177" s="185">
        <v>0.45</v>
      </c>
      <c r="H177" s="274">
        <f>G177*F177*2</f>
        <v>40.905000000000001</v>
      </c>
    </row>
    <row r="178" spans="2:8" s="51" customFormat="1" ht="20.100000000000001" customHeight="1" x14ac:dyDescent="0.25">
      <c r="B178" s="320"/>
      <c r="C178" s="321"/>
      <c r="D178" s="184" t="s">
        <v>165</v>
      </c>
      <c r="E178" s="282" t="s">
        <v>14</v>
      </c>
      <c r="F178" s="185">
        <f>11.06+4.65+4.65</f>
        <v>20.36</v>
      </c>
      <c r="G178" s="185">
        <v>0.4</v>
      </c>
      <c r="H178" s="283">
        <f>G178*F178*2</f>
        <v>16.288</v>
      </c>
    </row>
    <row r="179" spans="2:8" s="51" customFormat="1" ht="20.100000000000001" customHeight="1" x14ac:dyDescent="0.25">
      <c r="B179" s="320"/>
      <c r="C179" s="321"/>
      <c r="D179" s="184" t="s">
        <v>166</v>
      </c>
      <c r="E179" s="282" t="s">
        <v>14</v>
      </c>
      <c r="F179" s="185">
        <f>3.9+8</f>
        <v>11.9</v>
      </c>
      <c r="G179" s="185">
        <v>0.4</v>
      </c>
      <c r="H179" s="283">
        <f>G179*F179*2</f>
        <v>9.5200000000000014</v>
      </c>
    </row>
    <row r="180" spans="2:8" s="51" customFormat="1" ht="20.100000000000001" customHeight="1" x14ac:dyDescent="0.25">
      <c r="B180" s="300" t="s">
        <v>241</v>
      </c>
      <c r="C180" s="301"/>
      <c r="D180" s="301"/>
      <c r="E180" s="301"/>
      <c r="F180" s="301"/>
      <c r="G180" s="301"/>
      <c r="H180" s="302"/>
    </row>
    <row r="181" spans="2:8" s="51" customFormat="1" ht="20.100000000000001" customHeight="1" x14ac:dyDescent="0.25">
      <c r="B181" s="147">
        <v>11</v>
      </c>
      <c r="C181" s="83">
        <v>210000</v>
      </c>
      <c r="D181" s="303" t="s">
        <v>242</v>
      </c>
      <c r="E181" s="301"/>
      <c r="F181" s="301"/>
      <c r="G181" s="304"/>
      <c r="H181" s="154" t="s">
        <v>11</v>
      </c>
    </row>
    <row r="182" spans="2:8" s="51" customFormat="1" ht="20.100000000000001" customHeight="1" x14ac:dyDescent="0.25">
      <c r="B182" s="175" t="s">
        <v>224</v>
      </c>
      <c r="C182" s="176">
        <v>210460</v>
      </c>
      <c r="D182" s="180" t="s">
        <v>233</v>
      </c>
      <c r="E182" s="181" t="s">
        <v>14</v>
      </c>
      <c r="F182" s="278" t="s">
        <v>53</v>
      </c>
      <c r="G182" s="278" t="s">
        <v>16</v>
      </c>
      <c r="H182" s="179">
        <f>SUM(H183:H184)</f>
        <v>506.69460000000004</v>
      </c>
    </row>
    <row r="183" spans="2:8" s="51" customFormat="1" ht="20.100000000000001" customHeight="1" x14ac:dyDescent="0.25">
      <c r="B183" s="305"/>
      <c r="C183" s="306"/>
      <c r="D183" s="50" t="s">
        <v>19</v>
      </c>
      <c r="E183" s="52" t="s">
        <v>14</v>
      </c>
      <c r="F183" s="183">
        <v>16.350000000000001</v>
      </c>
      <c r="G183" s="165">
        <v>5.64</v>
      </c>
      <c r="H183" s="151">
        <f>G183*F183+(28.51*5.64)</f>
        <v>253.0104</v>
      </c>
    </row>
    <row r="184" spans="2:8" s="51" customFormat="1" ht="20.100000000000001" customHeight="1" x14ac:dyDescent="0.25">
      <c r="B184" s="305"/>
      <c r="C184" s="306"/>
      <c r="D184" s="50" t="s">
        <v>20</v>
      </c>
      <c r="E184" s="52" t="s">
        <v>14</v>
      </c>
      <c r="F184" s="183">
        <v>39.270000000000003</v>
      </c>
      <c r="G184" s="165">
        <v>6.46</v>
      </c>
      <c r="H184" s="151">
        <f>G184*F184</f>
        <v>253.68420000000003</v>
      </c>
    </row>
    <row r="185" spans="2:8" s="51" customFormat="1" ht="20.100000000000001" customHeight="1" x14ac:dyDescent="0.25">
      <c r="B185" s="300" t="s">
        <v>61</v>
      </c>
      <c r="C185" s="301"/>
      <c r="D185" s="301"/>
      <c r="E185" s="301"/>
      <c r="F185" s="301"/>
      <c r="G185" s="301"/>
      <c r="H185" s="302"/>
    </row>
    <row r="186" spans="2:8" s="51" customFormat="1" ht="20.100000000000001" customHeight="1" x14ac:dyDescent="0.25">
      <c r="B186" s="147">
        <v>12</v>
      </c>
      <c r="C186" s="83">
        <v>250000</v>
      </c>
      <c r="D186" s="303" t="s">
        <v>62</v>
      </c>
      <c r="E186" s="301"/>
      <c r="F186" s="301"/>
      <c r="G186" s="304"/>
      <c r="H186" s="154" t="s">
        <v>11</v>
      </c>
    </row>
    <row r="187" spans="2:8" s="51" customFormat="1" ht="20.100000000000001" customHeight="1" x14ac:dyDescent="0.25">
      <c r="B187" s="175" t="s">
        <v>243</v>
      </c>
      <c r="C187" s="176">
        <v>250101</v>
      </c>
      <c r="D187" s="177" t="s">
        <v>63</v>
      </c>
      <c r="E187" s="178" t="s">
        <v>64</v>
      </c>
      <c r="F187" s="315" t="s">
        <v>65</v>
      </c>
      <c r="G187" s="315"/>
      <c r="H187" s="179">
        <f>H188</f>
        <v>88</v>
      </c>
    </row>
    <row r="188" spans="2:8" s="51" customFormat="1" ht="20.100000000000001" customHeight="1" x14ac:dyDescent="0.25">
      <c r="B188" s="289"/>
      <c r="C188" s="337"/>
      <c r="D188" s="56" t="s">
        <v>170</v>
      </c>
      <c r="E188" s="53" t="s">
        <v>66</v>
      </c>
      <c r="F188" s="291">
        <f>22*2*2</f>
        <v>88</v>
      </c>
      <c r="G188" s="291"/>
      <c r="H188" s="155">
        <f>F188</f>
        <v>88</v>
      </c>
    </row>
    <row r="189" spans="2:8" s="51" customFormat="1" ht="20.100000000000001" customHeight="1" x14ac:dyDescent="0.25">
      <c r="B189" s="175" t="s">
        <v>244</v>
      </c>
      <c r="C189" s="176">
        <v>250103</v>
      </c>
      <c r="D189" s="177" t="s">
        <v>67</v>
      </c>
      <c r="E189" s="178" t="s">
        <v>64</v>
      </c>
      <c r="F189" s="315" t="s">
        <v>65</v>
      </c>
      <c r="G189" s="315"/>
      <c r="H189" s="179">
        <f>H190</f>
        <v>352</v>
      </c>
    </row>
    <row r="190" spans="2:8" s="51" customFormat="1" ht="20.100000000000001" customHeight="1" x14ac:dyDescent="0.25">
      <c r="B190" s="289"/>
      <c r="C190" s="290"/>
      <c r="D190" s="56" t="s">
        <v>68</v>
      </c>
      <c r="E190" s="53" t="s">
        <v>66</v>
      </c>
      <c r="F190" s="291">
        <f>22*8*2</f>
        <v>352</v>
      </c>
      <c r="G190" s="291"/>
      <c r="H190" s="155">
        <f>F190</f>
        <v>352</v>
      </c>
    </row>
    <row r="191" spans="2:8" s="51" customFormat="1" ht="20.100000000000001" customHeight="1" x14ac:dyDescent="0.25">
      <c r="B191" s="300" t="s">
        <v>222</v>
      </c>
      <c r="C191" s="301"/>
      <c r="D191" s="301"/>
      <c r="E191" s="301"/>
      <c r="F191" s="301"/>
      <c r="G191" s="301"/>
      <c r="H191" s="302"/>
    </row>
    <row r="192" spans="2:8" s="51" customFormat="1" ht="20.100000000000001" customHeight="1" x14ac:dyDescent="0.25">
      <c r="B192" s="147">
        <v>13</v>
      </c>
      <c r="C192" s="83">
        <v>270000</v>
      </c>
      <c r="D192" s="303" t="s">
        <v>223</v>
      </c>
      <c r="E192" s="301"/>
      <c r="F192" s="301"/>
      <c r="G192" s="304"/>
      <c r="H192" s="154" t="s">
        <v>11</v>
      </c>
    </row>
    <row r="193" spans="2:8" s="51" customFormat="1" ht="20.100000000000001" customHeight="1" x14ac:dyDescent="0.25">
      <c r="B193" s="175" t="s">
        <v>245</v>
      </c>
      <c r="C193" s="176">
        <v>270501</v>
      </c>
      <c r="D193" s="180" t="s">
        <v>225</v>
      </c>
      <c r="E193" s="181" t="s">
        <v>14</v>
      </c>
      <c r="F193" s="287" t="s">
        <v>156</v>
      </c>
      <c r="G193" s="288"/>
      <c r="H193" s="179">
        <f>H194</f>
        <v>2305.6</v>
      </c>
    </row>
    <row r="194" spans="2:8" s="51" customFormat="1" ht="20.100000000000001" customHeight="1" x14ac:dyDescent="0.25">
      <c r="B194" s="289"/>
      <c r="C194" s="290"/>
      <c r="D194" s="56" t="s">
        <v>226</v>
      </c>
      <c r="E194" s="53" t="s">
        <v>14</v>
      </c>
      <c r="F194" s="291">
        <v>2305.6</v>
      </c>
      <c r="G194" s="291"/>
      <c r="H194" s="155">
        <f>F194</f>
        <v>2305.6</v>
      </c>
    </row>
    <row r="195" spans="2:8" s="51" customFormat="1" ht="15.75" x14ac:dyDescent="0.25">
      <c r="B195" s="175" t="s">
        <v>267</v>
      </c>
      <c r="C195" s="176">
        <v>270810</v>
      </c>
      <c r="D195" s="180" t="s">
        <v>264</v>
      </c>
      <c r="E195" s="181" t="s">
        <v>265</v>
      </c>
      <c r="F195" s="287" t="s">
        <v>77</v>
      </c>
      <c r="G195" s="288"/>
      <c r="H195" s="179">
        <f>H196</f>
        <v>1</v>
      </c>
    </row>
    <row r="196" spans="2:8" s="51" customFormat="1" ht="15.75" x14ac:dyDescent="0.25">
      <c r="B196" s="271"/>
      <c r="C196" s="272"/>
      <c r="D196" s="273" t="s">
        <v>266</v>
      </c>
      <c r="E196" s="282" t="s">
        <v>195</v>
      </c>
      <c r="F196" s="357">
        <v>1</v>
      </c>
      <c r="G196" s="358"/>
      <c r="H196" s="274">
        <f>F196</f>
        <v>1</v>
      </c>
    </row>
    <row r="197" spans="2:8" s="51" customFormat="1" ht="20.100000000000001" customHeight="1" x14ac:dyDescent="0.25">
      <c r="B197" s="17"/>
      <c r="C197" s="233"/>
      <c r="D197" s="285" t="s">
        <v>69</v>
      </c>
      <c r="E197" s="285"/>
      <c r="F197" s="285"/>
      <c r="G197" s="240"/>
      <c r="H197" s="156"/>
    </row>
    <row r="198" spans="2:8" s="51" customFormat="1" ht="63.75" customHeight="1" x14ac:dyDescent="0.25">
      <c r="B198" s="17"/>
      <c r="C198" s="233"/>
      <c r="D198" s="252" t="s">
        <v>70</v>
      </c>
      <c r="E198" s="286"/>
      <c r="F198" s="286"/>
      <c r="G198" s="95"/>
      <c r="H198" s="157"/>
    </row>
    <row r="199" spans="2:8" s="51" customFormat="1" ht="20.100000000000001" customHeight="1" x14ac:dyDescent="0.25">
      <c r="B199" s="17"/>
      <c r="C199" s="233"/>
      <c r="D199" s="252" t="s">
        <v>171</v>
      </c>
      <c r="E199" s="286"/>
      <c r="F199" s="286"/>
      <c r="G199" s="240"/>
      <c r="H199" s="156"/>
    </row>
    <row r="200" spans="2:8" s="51" customFormat="1" ht="20.100000000000001" customHeight="1" x14ac:dyDescent="0.25">
      <c r="B200" s="17"/>
      <c r="C200" s="233"/>
      <c r="D200" s="252" t="s">
        <v>172</v>
      </c>
      <c r="E200" s="286"/>
      <c r="F200" s="286"/>
      <c r="G200" s="240"/>
      <c r="H200" s="156"/>
    </row>
    <row r="201" spans="2:8" s="51" customFormat="1" ht="20.100000000000001" customHeight="1" thickBot="1" x14ac:dyDescent="0.3">
      <c r="B201" s="158"/>
      <c r="C201" s="159"/>
      <c r="D201" s="160"/>
      <c r="E201" s="161"/>
      <c r="F201" s="162"/>
      <c r="G201" s="162"/>
      <c r="H201" s="163"/>
    </row>
    <row r="202" spans="2:8" s="51" customFormat="1" ht="20.100000000000001" customHeight="1" x14ac:dyDescent="0.25">
      <c r="B202" s="8"/>
      <c r="C202" s="8"/>
      <c r="D202" s="94"/>
      <c r="E202" s="7"/>
      <c r="F202" s="12"/>
      <c r="G202" s="12"/>
      <c r="H202" s="81"/>
    </row>
    <row r="203" spans="2:8" s="51" customFormat="1" ht="20.100000000000001" customHeight="1" x14ac:dyDescent="0.25">
      <c r="B203" s="8"/>
      <c r="C203" s="8"/>
      <c r="D203" s="10"/>
      <c r="E203" s="7"/>
      <c r="F203" s="12"/>
      <c r="G203" s="12"/>
      <c r="H203" s="81"/>
    </row>
    <row r="204" spans="2:8" s="51" customFormat="1" ht="20.100000000000001" customHeight="1" x14ac:dyDescent="0.25">
      <c r="B204" s="8"/>
      <c r="C204" s="8"/>
      <c r="D204" s="10"/>
      <c r="E204" s="7"/>
      <c r="F204" s="12"/>
      <c r="G204" s="12"/>
      <c r="H204" s="81"/>
    </row>
    <row r="205" spans="2:8" s="51" customFormat="1" ht="20.100000000000001" customHeight="1" x14ac:dyDescent="0.25">
      <c r="B205" s="8"/>
      <c r="C205" s="8"/>
      <c r="D205" s="10"/>
      <c r="E205" s="7"/>
      <c r="F205" s="12"/>
      <c r="G205" s="12"/>
      <c r="H205" s="81"/>
    </row>
    <row r="206" spans="2:8" s="51" customFormat="1" ht="20.100000000000001" customHeight="1" x14ac:dyDescent="0.25">
      <c r="B206" s="8"/>
      <c r="C206" s="8"/>
      <c r="D206" s="10"/>
      <c r="E206" s="7"/>
      <c r="F206" s="12"/>
      <c r="G206" s="12"/>
      <c r="H206" s="81"/>
    </row>
    <row r="207" spans="2:8" s="51" customFormat="1" ht="20.100000000000001" customHeight="1" x14ac:dyDescent="0.25">
      <c r="B207" s="8"/>
      <c r="C207" s="8"/>
      <c r="D207" s="10"/>
      <c r="E207" s="7"/>
      <c r="F207" s="12"/>
      <c r="G207" s="12"/>
      <c r="H207" s="81"/>
    </row>
    <row r="208" spans="2:8" s="51" customFormat="1" ht="20.100000000000001" customHeight="1" x14ac:dyDescent="0.25">
      <c r="B208" s="8"/>
      <c r="C208" s="8"/>
      <c r="D208" s="10"/>
      <c r="E208" s="7"/>
      <c r="F208" s="12"/>
      <c r="G208" s="12"/>
      <c r="H208" s="81"/>
    </row>
    <row r="209" spans="2:8" s="51" customFormat="1" ht="20.100000000000001" customHeight="1" x14ac:dyDescent="0.25">
      <c r="B209" s="8"/>
      <c r="C209" s="8"/>
      <c r="D209" s="10"/>
      <c r="E209" s="7"/>
      <c r="F209" s="12"/>
      <c r="G209" s="12"/>
      <c r="H209" s="81"/>
    </row>
    <row r="210" spans="2:8" s="51" customFormat="1" ht="20.100000000000001" customHeight="1" x14ac:dyDescent="0.25">
      <c r="B210" s="8"/>
      <c r="C210" s="8"/>
      <c r="D210" s="10"/>
      <c r="E210" s="7"/>
      <c r="F210" s="12"/>
      <c r="G210" s="12"/>
      <c r="H210" s="81"/>
    </row>
    <row r="211" spans="2:8" s="51" customFormat="1" ht="20.100000000000001" customHeight="1" x14ac:dyDescent="0.25">
      <c r="B211" s="8"/>
      <c r="C211" s="8"/>
      <c r="D211" s="10"/>
      <c r="E211" s="7"/>
      <c r="F211" s="12"/>
      <c r="G211" s="12"/>
      <c r="H211" s="81"/>
    </row>
    <row r="212" spans="2:8" s="51" customFormat="1" ht="20.100000000000001" customHeight="1" x14ac:dyDescent="0.25">
      <c r="B212" s="8"/>
      <c r="C212" s="8"/>
      <c r="D212" s="10"/>
      <c r="E212" s="7"/>
      <c r="F212" s="12"/>
      <c r="G212" s="12"/>
      <c r="H212" s="81"/>
    </row>
    <row r="213" spans="2:8" s="51" customFormat="1" ht="20.100000000000001" customHeight="1" x14ac:dyDescent="0.25">
      <c r="B213" s="8"/>
      <c r="C213" s="8"/>
      <c r="D213" s="10"/>
      <c r="E213" s="7"/>
      <c r="F213" s="12"/>
      <c r="G213" s="12"/>
      <c r="H213" s="81"/>
    </row>
    <row r="214" spans="2:8" s="51" customFormat="1" ht="20.100000000000001" customHeight="1" x14ac:dyDescent="0.25">
      <c r="B214" s="8"/>
      <c r="C214" s="8"/>
      <c r="D214" s="10"/>
      <c r="E214" s="7"/>
      <c r="F214" s="12"/>
      <c r="G214" s="12"/>
      <c r="H214" s="81"/>
    </row>
    <row r="215" spans="2:8" s="51" customFormat="1" ht="20.100000000000001" customHeight="1" x14ac:dyDescent="0.25">
      <c r="B215" s="8"/>
      <c r="C215" s="8"/>
      <c r="D215" s="10"/>
      <c r="E215" s="7"/>
      <c r="F215" s="12"/>
      <c r="G215" s="12"/>
      <c r="H215" s="81"/>
    </row>
    <row r="216" spans="2:8" s="51" customFormat="1" ht="20.100000000000001" customHeight="1" x14ac:dyDescent="0.25">
      <c r="B216" s="8"/>
      <c r="C216" s="8"/>
      <c r="D216" s="10"/>
      <c r="E216" s="7"/>
      <c r="F216" s="12"/>
      <c r="G216" s="12"/>
      <c r="H216" s="81"/>
    </row>
    <row r="217" spans="2:8" s="51" customFormat="1" ht="20.100000000000001" customHeight="1" x14ac:dyDescent="0.25">
      <c r="B217" s="8"/>
      <c r="C217" s="8"/>
      <c r="D217" s="10"/>
      <c r="E217" s="7"/>
      <c r="F217" s="12"/>
      <c r="G217" s="12"/>
      <c r="H217" s="81"/>
    </row>
    <row r="218" spans="2:8" s="51" customFormat="1" ht="20.100000000000001" customHeight="1" x14ac:dyDescent="0.25">
      <c r="B218" s="8"/>
      <c r="C218" s="8"/>
      <c r="D218" s="10"/>
      <c r="E218" s="7"/>
      <c r="F218" s="12"/>
      <c r="G218" s="12"/>
      <c r="H218" s="81"/>
    </row>
    <row r="219" spans="2:8" s="51" customFormat="1" ht="20.100000000000001" customHeight="1" x14ac:dyDescent="0.25">
      <c r="B219" s="8"/>
      <c r="C219" s="8"/>
      <c r="D219" s="10"/>
      <c r="E219" s="7"/>
      <c r="F219" s="12"/>
      <c r="G219" s="12"/>
      <c r="H219" s="81"/>
    </row>
    <row r="220" spans="2:8" s="51" customFormat="1" ht="20.100000000000001" customHeight="1" x14ac:dyDescent="0.25">
      <c r="B220" s="8"/>
      <c r="C220" s="8"/>
      <c r="D220" s="10"/>
      <c r="E220" s="7"/>
      <c r="F220" s="12"/>
      <c r="G220" s="12"/>
      <c r="H220" s="81"/>
    </row>
    <row r="221" spans="2:8" s="51" customFormat="1" ht="20.100000000000001" customHeight="1" x14ac:dyDescent="0.25">
      <c r="B221" s="8"/>
      <c r="C221" s="8"/>
      <c r="D221" s="10"/>
      <c r="E221" s="7"/>
      <c r="F221" s="12"/>
      <c r="G221" s="12"/>
      <c r="H221" s="81"/>
    </row>
    <row r="222" spans="2:8" s="51" customFormat="1" ht="20.100000000000001" customHeight="1" x14ac:dyDescent="0.25">
      <c r="B222" s="8"/>
      <c r="C222" s="8"/>
      <c r="D222" s="10"/>
      <c r="E222" s="7"/>
      <c r="F222" s="12"/>
      <c r="G222" s="12"/>
      <c r="H222" s="81"/>
    </row>
    <row r="223" spans="2:8" s="51" customFormat="1" ht="20.100000000000001" customHeight="1" x14ac:dyDescent="0.25">
      <c r="B223" s="8"/>
      <c r="C223" s="8"/>
      <c r="D223" s="10"/>
      <c r="E223" s="7"/>
      <c r="F223" s="12"/>
      <c r="G223" s="12"/>
      <c r="H223" s="81"/>
    </row>
    <row r="224" spans="2:8" s="51" customFormat="1" ht="20.100000000000001" customHeight="1" x14ac:dyDescent="0.25">
      <c r="B224" s="8"/>
      <c r="C224" s="8"/>
      <c r="D224" s="10"/>
      <c r="E224" s="7"/>
      <c r="F224" s="12"/>
      <c r="G224" s="12"/>
      <c r="H224" s="81"/>
    </row>
    <row r="225" spans="2:8" s="51" customFormat="1" ht="20.100000000000001" customHeight="1" x14ac:dyDescent="0.25">
      <c r="B225" s="8"/>
      <c r="C225" s="8"/>
      <c r="D225" s="10"/>
      <c r="E225" s="7"/>
      <c r="F225" s="12"/>
      <c r="G225" s="12"/>
      <c r="H225" s="81"/>
    </row>
    <row r="226" spans="2:8" s="51" customFormat="1" ht="20.100000000000001" customHeight="1" x14ac:dyDescent="0.25">
      <c r="B226" s="8"/>
      <c r="C226" s="8"/>
      <c r="D226" s="10"/>
      <c r="E226" s="7"/>
      <c r="F226" s="12"/>
      <c r="G226" s="12"/>
      <c r="H226" s="81"/>
    </row>
    <row r="227" spans="2:8" s="51" customFormat="1" ht="20.100000000000001" customHeight="1" x14ac:dyDescent="0.25">
      <c r="B227" s="8"/>
      <c r="C227" s="8"/>
      <c r="D227" s="10"/>
      <c r="E227" s="7"/>
      <c r="F227" s="12"/>
      <c r="G227" s="12"/>
      <c r="H227" s="81"/>
    </row>
    <row r="228" spans="2:8" s="51" customFormat="1" ht="20.100000000000001" customHeight="1" x14ac:dyDescent="0.25">
      <c r="B228" s="8"/>
      <c r="C228" s="8"/>
      <c r="D228" s="10"/>
      <c r="E228" s="7"/>
      <c r="F228" s="12"/>
      <c r="G228" s="12"/>
      <c r="H228" s="81"/>
    </row>
    <row r="229" spans="2:8" s="51" customFormat="1" ht="20.100000000000001" customHeight="1" x14ac:dyDescent="0.25">
      <c r="B229" s="8"/>
      <c r="C229" s="8"/>
      <c r="D229" s="10"/>
      <c r="E229" s="7"/>
      <c r="F229" s="12"/>
      <c r="G229" s="12"/>
      <c r="H229" s="81"/>
    </row>
    <row r="230" spans="2:8" s="51" customFormat="1" ht="20.100000000000001" customHeight="1" x14ac:dyDescent="0.25">
      <c r="B230" s="8"/>
      <c r="C230" s="8"/>
      <c r="D230" s="10"/>
      <c r="E230" s="7"/>
      <c r="F230" s="12"/>
      <c r="G230" s="12"/>
      <c r="H230" s="81"/>
    </row>
    <row r="231" spans="2:8" s="51" customFormat="1" ht="20.100000000000001" customHeight="1" x14ac:dyDescent="0.25">
      <c r="B231" s="8"/>
      <c r="C231" s="8"/>
      <c r="D231" s="10"/>
      <c r="E231" s="7"/>
      <c r="F231" s="12"/>
      <c r="G231" s="12"/>
      <c r="H231" s="81"/>
    </row>
    <row r="232" spans="2:8" s="51" customFormat="1" ht="20.100000000000001" customHeight="1" x14ac:dyDescent="0.25">
      <c r="B232" s="8"/>
      <c r="C232" s="8"/>
      <c r="D232" s="10"/>
      <c r="E232" s="7"/>
      <c r="F232" s="12"/>
      <c r="G232" s="12"/>
      <c r="H232" s="81"/>
    </row>
    <row r="233" spans="2:8" s="51" customFormat="1" ht="20.100000000000001" customHeight="1" x14ac:dyDescent="0.25">
      <c r="B233" s="8"/>
      <c r="C233" s="8"/>
      <c r="D233" s="10"/>
      <c r="E233" s="7"/>
      <c r="F233" s="12"/>
      <c r="G233" s="12"/>
      <c r="H233" s="81"/>
    </row>
    <row r="234" spans="2:8" s="51" customFormat="1" ht="20.100000000000001" customHeight="1" x14ac:dyDescent="0.25">
      <c r="B234" s="8"/>
      <c r="C234" s="8"/>
      <c r="D234" s="10"/>
      <c r="E234" s="7"/>
      <c r="F234" s="12"/>
      <c r="G234" s="12"/>
      <c r="H234" s="81"/>
    </row>
    <row r="235" spans="2:8" s="51" customFormat="1" ht="20.100000000000001" customHeight="1" x14ac:dyDescent="0.25">
      <c r="B235" s="8"/>
      <c r="C235" s="8"/>
      <c r="D235" s="10"/>
      <c r="E235" s="7"/>
      <c r="F235" s="12"/>
      <c r="G235" s="12"/>
      <c r="H235" s="81"/>
    </row>
    <row r="236" spans="2:8" s="51" customFormat="1" ht="15" x14ac:dyDescent="0.25">
      <c r="B236" s="8"/>
      <c r="C236" s="8"/>
      <c r="D236" s="10"/>
      <c r="E236" s="7"/>
      <c r="F236" s="12"/>
      <c r="G236" s="12"/>
      <c r="H236" s="81"/>
    </row>
    <row r="237" spans="2:8" s="51" customFormat="1" ht="25.5" customHeight="1" x14ac:dyDescent="0.25">
      <c r="B237" s="8"/>
      <c r="C237" s="8"/>
      <c r="D237" s="10"/>
      <c r="E237" s="7"/>
      <c r="F237" s="12"/>
      <c r="G237" s="12"/>
      <c r="H237" s="81"/>
    </row>
    <row r="238" spans="2:8" s="51" customFormat="1" ht="20.100000000000001" customHeight="1" x14ac:dyDescent="0.25">
      <c r="B238" s="8"/>
      <c r="C238" s="8"/>
      <c r="D238" s="10"/>
      <c r="E238" s="7"/>
      <c r="F238" s="12"/>
      <c r="G238" s="12"/>
      <c r="H238" s="81"/>
    </row>
    <row r="239" spans="2:8" s="51" customFormat="1" ht="20.100000000000001" customHeight="1" x14ac:dyDescent="0.25">
      <c r="B239" s="8"/>
      <c r="C239" s="8"/>
      <c r="D239" s="10"/>
      <c r="E239" s="7"/>
      <c r="F239" s="12"/>
      <c r="G239" s="12"/>
      <c r="H239" s="81"/>
    </row>
    <row r="240" spans="2:8" s="51" customFormat="1" ht="20.100000000000001" customHeight="1" x14ac:dyDescent="0.25">
      <c r="B240" s="8"/>
      <c r="C240" s="8"/>
      <c r="D240" s="10"/>
      <c r="E240" s="7"/>
      <c r="F240" s="12"/>
      <c r="G240" s="12"/>
      <c r="H240" s="81"/>
    </row>
    <row r="241" spans="1:8" s="51" customFormat="1" ht="20.100000000000001" customHeight="1" x14ac:dyDescent="0.25">
      <c r="B241" s="8"/>
      <c r="C241" s="8"/>
      <c r="D241" s="10"/>
      <c r="E241" s="7"/>
      <c r="F241" s="12"/>
      <c r="G241" s="12"/>
      <c r="H241" s="81"/>
    </row>
    <row r="242" spans="1:8" s="51" customFormat="1" ht="20.100000000000001" customHeight="1" x14ac:dyDescent="0.25">
      <c r="B242" s="8"/>
      <c r="C242" s="8"/>
      <c r="D242" s="10"/>
      <c r="E242" s="7"/>
      <c r="F242" s="12"/>
      <c r="G242" s="12"/>
      <c r="H242" s="81"/>
    </row>
    <row r="243" spans="1:8" s="51" customFormat="1" ht="20.100000000000001" customHeight="1" x14ac:dyDescent="0.25">
      <c r="B243" s="8"/>
      <c r="C243" s="8"/>
      <c r="D243" s="10"/>
      <c r="E243" s="7"/>
      <c r="F243" s="12"/>
      <c r="G243" s="12"/>
      <c r="H243" s="81"/>
    </row>
    <row r="244" spans="1:8" s="51" customFormat="1" ht="20.100000000000001" customHeight="1" x14ac:dyDescent="0.25">
      <c r="B244" s="8"/>
      <c r="C244" s="8"/>
      <c r="D244" s="10"/>
      <c r="E244" s="7"/>
      <c r="F244" s="12"/>
      <c r="G244" s="12"/>
      <c r="H244" s="81"/>
    </row>
    <row r="245" spans="1:8" s="51" customFormat="1" ht="20.100000000000001" customHeight="1" x14ac:dyDescent="0.25">
      <c r="B245" s="8"/>
      <c r="C245" s="8"/>
      <c r="D245" s="10"/>
      <c r="E245" s="7"/>
      <c r="F245" s="12"/>
      <c r="G245" s="12"/>
      <c r="H245" s="81"/>
    </row>
    <row r="246" spans="1:8" s="51" customFormat="1" ht="20.100000000000001" customHeight="1" x14ac:dyDescent="0.25">
      <c r="B246" s="8"/>
      <c r="C246" s="8"/>
      <c r="D246" s="10"/>
      <c r="E246" s="7"/>
      <c r="F246" s="12"/>
      <c r="G246" s="12"/>
      <c r="H246" s="81"/>
    </row>
    <row r="247" spans="1:8" s="51" customFormat="1" ht="20.100000000000001" customHeight="1" x14ac:dyDescent="0.25">
      <c r="B247" s="8"/>
      <c r="C247" s="8"/>
      <c r="D247" s="10"/>
      <c r="E247" s="7"/>
      <c r="F247" s="12"/>
      <c r="G247" s="12"/>
      <c r="H247" s="81"/>
    </row>
    <row r="248" spans="1:8" s="51" customFormat="1" ht="20.100000000000001" customHeight="1" x14ac:dyDescent="0.25">
      <c r="B248" s="8"/>
      <c r="C248" s="8"/>
      <c r="D248" s="10"/>
      <c r="E248" s="7"/>
      <c r="F248" s="12"/>
      <c r="G248" s="12"/>
      <c r="H248" s="81"/>
    </row>
    <row r="249" spans="1:8" s="51" customFormat="1" ht="20.100000000000001" customHeight="1" x14ac:dyDescent="0.25">
      <c r="B249" s="8"/>
      <c r="C249" s="8"/>
      <c r="D249" s="10"/>
      <c r="E249" s="7"/>
      <c r="F249" s="12"/>
      <c r="G249" s="12"/>
      <c r="H249" s="81"/>
    </row>
    <row r="250" spans="1:8" s="51" customFormat="1" ht="20.100000000000001" customHeight="1" x14ac:dyDescent="0.25">
      <c r="B250" s="8"/>
      <c r="C250" s="8"/>
      <c r="D250" s="10"/>
      <c r="E250" s="7"/>
      <c r="F250" s="12"/>
      <c r="G250" s="12"/>
      <c r="H250" s="81"/>
    </row>
    <row r="251" spans="1:8" s="51" customFormat="1" ht="20.100000000000001" customHeight="1" x14ac:dyDescent="0.25">
      <c r="B251" s="8"/>
      <c r="C251" s="8"/>
      <c r="D251" s="10"/>
      <c r="E251" s="7"/>
      <c r="F251" s="12"/>
      <c r="G251" s="12"/>
      <c r="H251" s="81"/>
    </row>
    <row r="252" spans="1:8" s="51" customFormat="1" ht="20.100000000000001" customHeight="1" x14ac:dyDescent="0.25">
      <c r="B252" s="8"/>
      <c r="C252" s="8"/>
      <c r="D252" s="10"/>
      <c r="E252" s="7"/>
      <c r="F252" s="12"/>
      <c r="G252" s="12"/>
      <c r="H252" s="81"/>
    </row>
    <row r="253" spans="1:8" s="51" customFormat="1" ht="20.100000000000001" customHeight="1" x14ac:dyDescent="0.25">
      <c r="B253" s="8"/>
      <c r="C253" s="8"/>
      <c r="D253" s="10"/>
      <c r="E253" s="7"/>
      <c r="F253" s="12"/>
      <c r="G253" s="12"/>
      <c r="H253" s="81"/>
    </row>
    <row r="254" spans="1:8" s="51" customFormat="1" ht="20.100000000000001" customHeight="1" x14ac:dyDescent="0.25">
      <c r="B254" s="8"/>
      <c r="C254" s="8"/>
      <c r="D254" s="10"/>
      <c r="E254" s="7"/>
      <c r="F254" s="12"/>
      <c r="G254" s="12"/>
      <c r="H254" s="81"/>
    </row>
    <row r="255" spans="1:8" ht="20.100000000000001" customHeight="1" x14ac:dyDescent="0.25">
      <c r="A255" s="51"/>
    </row>
    <row r="256" spans="1:8" ht="20.100000000000001" customHeight="1" x14ac:dyDescent="0.25">
      <c r="A256" s="51"/>
    </row>
    <row r="257" spans="1:1" ht="20.100000000000001" customHeight="1" x14ac:dyDescent="0.25">
      <c r="A257" s="51"/>
    </row>
  </sheetData>
  <mergeCells count="94">
    <mergeCell ref="F195:G195"/>
    <mergeCell ref="F196:G196"/>
    <mergeCell ref="F79:G79"/>
    <mergeCell ref="F81:G81"/>
    <mergeCell ref="F188:G188"/>
    <mergeCell ref="F189:G189"/>
    <mergeCell ref="D90:G90"/>
    <mergeCell ref="D105:G105"/>
    <mergeCell ref="D119:G119"/>
    <mergeCell ref="F142:G142"/>
    <mergeCell ref="F138:G138"/>
    <mergeCell ref="F141:G141"/>
    <mergeCell ref="B104:H104"/>
    <mergeCell ref="F139:G139"/>
    <mergeCell ref="D155:G155"/>
    <mergeCell ref="B157:C163"/>
    <mergeCell ref="I6:J6"/>
    <mergeCell ref="D11:G11"/>
    <mergeCell ref="B13:C16"/>
    <mergeCell ref="B118:H118"/>
    <mergeCell ref="D53:G53"/>
    <mergeCell ref="B52:H52"/>
    <mergeCell ref="B44:C46"/>
    <mergeCell ref="B92:C99"/>
    <mergeCell ref="B73:H73"/>
    <mergeCell ref="D74:G74"/>
    <mergeCell ref="F75:G75"/>
    <mergeCell ref="B76:C76"/>
    <mergeCell ref="F76:G76"/>
    <mergeCell ref="F77:G77"/>
    <mergeCell ref="B78:C78"/>
    <mergeCell ref="F78:G78"/>
    <mergeCell ref="B48:C49"/>
    <mergeCell ref="B65:H65"/>
    <mergeCell ref="D66:G66"/>
    <mergeCell ref="F67:G67"/>
    <mergeCell ref="F68:G68"/>
    <mergeCell ref="B190:C190"/>
    <mergeCell ref="B188:C188"/>
    <mergeCell ref="F190:G190"/>
    <mergeCell ref="D186:G186"/>
    <mergeCell ref="B185:H185"/>
    <mergeCell ref="F187:G187"/>
    <mergeCell ref="F80:G80"/>
    <mergeCell ref="B173:C179"/>
    <mergeCell ref="F147:G147"/>
    <mergeCell ref="F148:G148"/>
    <mergeCell ref="F149:G149"/>
    <mergeCell ref="B165:C171"/>
    <mergeCell ref="B89:H89"/>
    <mergeCell ref="F87:G87"/>
    <mergeCell ref="F88:G88"/>
    <mergeCell ref="B1:H1"/>
    <mergeCell ref="B2:H2"/>
    <mergeCell ref="B3:H3"/>
    <mergeCell ref="B5:H5"/>
    <mergeCell ref="B10:H10"/>
    <mergeCell ref="D4:G4"/>
    <mergeCell ref="B8:H8"/>
    <mergeCell ref="D7:G7"/>
    <mergeCell ref="B6:H6"/>
    <mergeCell ref="F9:H9"/>
    <mergeCell ref="B191:H191"/>
    <mergeCell ref="D192:G192"/>
    <mergeCell ref="F70:G70"/>
    <mergeCell ref="F146:G146"/>
    <mergeCell ref="F140:G140"/>
    <mergeCell ref="F144:G144"/>
    <mergeCell ref="F145:G145"/>
    <mergeCell ref="F143:G143"/>
    <mergeCell ref="F153:G153"/>
    <mergeCell ref="F150:G150"/>
    <mergeCell ref="F151:G151"/>
    <mergeCell ref="F152:G152"/>
    <mergeCell ref="B154:H154"/>
    <mergeCell ref="B82:C82"/>
    <mergeCell ref="F82:G82"/>
    <mergeCell ref="B80:C80"/>
    <mergeCell ref="F193:G193"/>
    <mergeCell ref="B194:C194"/>
    <mergeCell ref="F194:G194"/>
    <mergeCell ref="B55:C60"/>
    <mergeCell ref="F72:G72"/>
    <mergeCell ref="B180:H180"/>
    <mergeCell ref="D181:G181"/>
    <mergeCell ref="B183:C184"/>
    <mergeCell ref="F85:G85"/>
    <mergeCell ref="F86:G86"/>
    <mergeCell ref="B61:H61"/>
    <mergeCell ref="D62:G62"/>
    <mergeCell ref="B100:H100"/>
    <mergeCell ref="D101:G101"/>
    <mergeCell ref="F69:G69"/>
    <mergeCell ref="F71:G71"/>
  </mergeCells>
  <phoneticPr fontId="7" type="noConversion"/>
  <conditionalFormatting sqref="D55:D60 D16 D13:D14 D109:D112 D114:D116 D139:D142 D35:D42 D144:D146 D64">
    <cfRule type="containsText" dxfId="14" priority="690" operator="containsText" text="m2">
      <formula>NOT(ISERROR(SEARCH("m2",D13)))</formula>
    </cfRule>
  </conditionalFormatting>
  <conditionalFormatting sqref="D18:D25 D27:D31 D44:D46 D48:D49 D51">
    <cfRule type="containsText" dxfId="13" priority="676" operator="containsText" text="m2">
      <formula>NOT(ISERROR(SEARCH("m2",D18)))</formula>
    </cfRule>
  </conditionalFormatting>
  <conditionalFormatting sqref="D121:D124">
    <cfRule type="containsText" dxfId="12" priority="567" operator="containsText" text="m2">
      <formula>NOT(ISERROR(SEARCH("m2",D121)))</formula>
    </cfRule>
  </conditionalFormatting>
  <conditionalFormatting sqref="D125:D126">
    <cfRule type="containsText" dxfId="11" priority="14" operator="containsText" text="m2">
      <formula>NOT(ISERROR(SEARCH("m2",D125)))</formula>
    </cfRule>
  </conditionalFormatting>
  <conditionalFormatting sqref="D128:D129">
    <cfRule type="containsText" dxfId="10" priority="13" operator="containsText" text="m2">
      <formula>NOT(ISERROR(SEARCH("m2",D128)))</formula>
    </cfRule>
  </conditionalFormatting>
  <conditionalFormatting sqref="D107:D108">
    <cfRule type="containsText" dxfId="9" priority="11" operator="containsText" text="m2">
      <formula>NOT(ISERROR(SEARCH("m2",D107)))</formula>
    </cfRule>
  </conditionalFormatting>
  <conditionalFormatting sqref="D32:D33">
    <cfRule type="containsText" dxfId="8" priority="9" operator="containsText" text="m2">
      <formula>NOT(ISERROR(SEARCH("m2",D32)))</formula>
    </cfRule>
  </conditionalFormatting>
  <conditionalFormatting sqref="D129">
    <cfRule type="containsText" dxfId="7" priority="8" operator="containsText" text="m2">
      <formula>NOT(ISERROR(SEARCH("m2",D129)))</formula>
    </cfRule>
  </conditionalFormatting>
  <conditionalFormatting sqref="D130:D132">
    <cfRule type="containsText" dxfId="6" priority="7" operator="containsText" text="m2">
      <formula>NOT(ISERROR(SEARCH("m2",D130)))</formula>
    </cfRule>
  </conditionalFormatting>
  <conditionalFormatting sqref="D134:D137">
    <cfRule type="containsText" dxfId="5" priority="6" operator="containsText" text="m2">
      <formula>NOT(ISERROR(SEARCH("m2",D134)))</formula>
    </cfRule>
  </conditionalFormatting>
  <conditionalFormatting sqref="D117">
    <cfRule type="containsText" dxfId="4" priority="5" operator="containsText" text="m2">
      <formula>NOT(ISERROR(SEARCH("m2",D117)))</formula>
    </cfRule>
  </conditionalFormatting>
  <conditionalFormatting sqref="D143">
    <cfRule type="containsText" dxfId="3" priority="4" operator="containsText" text="m2">
      <formula>NOT(ISERROR(SEARCH("m2",D143)))</formula>
    </cfRule>
  </conditionalFormatting>
  <conditionalFormatting sqref="D103">
    <cfRule type="containsText" dxfId="2" priority="3" operator="containsText" text="m2">
      <formula>NOT(ISERROR(SEARCH("m2",D103)))</formula>
    </cfRule>
  </conditionalFormatting>
  <conditionalFormatting sqref="D68 D70 D72">
    <cfRule type="containsText" dxfId="1" priority="2" operator="containsText" text="m2">
      <formula>NOT(ISERROR(SEARCH("m2",D68)))</formula>
    </cfRule>
  </conditionalFormatting>
  <conditionalFormatting sqref="D183:D184">
    <cfRule type="containsText" dxfId="0" priority="1" operator="containsText" text="m2">
      <formula>NOT(ISERROR(SEARCH("m2",D183)))</formula>
    </cfRule>
  </conditionalFormatting>
  <pageMargins left="0.51181102362204722" right="0.51181102362204722" top="0.78740157480314965" bottom="0.78740157480314965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8"/>
  <sheetViews>
    <sheetView showGridLines="0" tabSelected="1" topLeftCell="A19" zoomScale="70" zoomScaleNormal="70" zoomScaleSheetLayoutView="73" zoomScalePageLayoutView="60" workbookViewId="0">
      <selection activeCell="C36" sqref="C36:J36"/>
    </sheetView>
  </sheetViews>
  <sheetFormatPr defaultColWidth="9.140625" defaultRowHeight="14.25" x14ac:dyDescent="0.25"/>
  <cols>
    <col min="1" max="1" width="9.140625" style="13"/>
    <col min="2" max="2" width="9.7109375" style="8" customWidth="1"/>
    <col min="3" max="3" width="15.5703125" style="8" bestFit="1" customWidth="1"/>
    <col min="4" max="4" width="17.42578125" style="21" bestFit="1" customWidth="1"/>
    <col min="5" max="5" width="104.7109375" style="10" customWidth="1"/>
    <col min="6" max="6" width="10.85546875" style="7" customWidth="1"/>
    <col min="7" max="7" width="16.7109375" style="7" customWidth="1"/>
    <col min="8" max="8" width="14.5703125" style="26" bestFit="1" customWidth="1"/>
    <col min="9" max="9" width="21" style="26" bestFit="1" customWidth="1"/>
    <col min="10" max="10" width="19.5703125" style="11" bestFit="1" customWidth="1"/>
    <col min="11" max="11" width="13.7109375" style="8" customWidth="1"/>
    <col min="12" max="12" width="25.140625" style="13" bestFit="1" customWidth="1"/>
    <col min="13" max="16384" width="9.140625" style="13"/>
  </cols>
  <sheetData>
    <row r="1" spans="2:11" ht="15" thickBot="1" x14ac:dyDescent="0.3">
      <c r="B1" s="13"/>
      <c r="C1" s="13"/>
      <c r="D1" s="13"/>
      <c r="E1" s="13"/>
      <c r="F1" s="13"/>
      <c r="G1" s="13"/>
      <c r="H1" s="13"/>
      <c r="I1" s="13"/>
      <c r="J1" s="13"/>
      <c r="K1" s="384"/>
    </row>
    <row r="2" spans="2:11" ht="18" x14ac:dyDescent="0.25">
      <c r="B2" s="397" t="s">
        <v>71</v>
      </c>
      <c r="C2" s="398"/>
      <c r="D2" s="398"/>
      <c r="E2" s="398"/>
      <c r="F2" s="398"/>
      <c r="G2" s="398"/>
      <c r="H2" s="398"/>
      <c r="I2" s="398"/>
      <c r="J2" s="399"/>
      <c r="K2" s="384"/>
    </row>
    <row r="3" spans="2:11" ht="18" x14ac:dyDescent="0.25">
      <c r="B3" s="385" t="s">
        <v>1</v>
      </c>
      <c r="C3" s="386"/>
      <c r="D3" s="386"/>
      <c r="E3" s="386"/>
      <c r="F3" s="386"/>
      <c r="G3" s="386"/>
      <c r="H3" s="386"/>
      <c r="I3" s="386"/>
      <c r="J3" s="387"/>
      <c r="K3" s="384"/>
    </row>
    <row r="4" spans="2:11" ht="21.75" customHeight="1" x14ac:dyDescent="0.25">
      <c r="B4" s="388" t="s">
        <v>2</v>
      </c>
      <c r="C4" s="389"/>
      <c r="D4" s="389"/>
      <c r="E4" s="389"/>
      <c r="F4" s="389"/>
      <c r="G4" s="389"/>
      <c r="H4" s="389"/>
      <c r="I4" s="389"/>
      <c r="J4" s="390"/>
      <c r="K4" s="384"/>
    </row>
    <row r="5" spans="2:11" ht="21.75" customHeight="1" x14ac:dyDescent="0.25">
      <c r="B5" s="391" t="s">
        <v>72</v>
      </c>
      <c r="C5" s="392"/>
      <c r="D5" s="392"/>
      <c r="E5" s="392"/>
      <c r="F5" s="392"/>
      <c r="G5" s="392"/>
      <c r="H5" s="392"/>
      <c r="I5" s="392"/>
      <c r="J5" s="393"/>
      <c r="K5" s="384"/>
    </row>
    <row r="6" spans="2:11" ht="15" x14ac:dyDescent="0.25">
      <c r="B6" s="394" t="s">
        <v>4</v>
      </c>
      <c r="C6" s="395"/>
      <c r="D6" s="395"/>
      <c r="E6" s="395"/>
      <c r="F6" s="395"/>
      <c r="G6" s="395"/>
      <c r="H6" s="395"/>
      <c r="I6" s="395"/>
      <c r="J6" s="396"/>
      <c r="K6" s="384"/>
    </row>
    <row r="7" spans="2:11" ht="15" x14ac:dyDescent="0.25">
      <c r="B7" s="369" t="s">
        <v>268</v>
      </c>
      <c r="C7" s="370"/>
      <c r="D7" s="370"/>
      <c r="E7" s="370"/>
      <c r="F7" s="370"/>
      <c r="G7" s="370"/>
      <c r="H7" s="370"/>
      <c r="I7" s="370"/>
      <c r="J7" s="371"/>
    </row>
    <row r="8" spans="2:11" ht="19.5" customHeight="1" thickBot="1" x14ac:dyDescent="0.3">
      <c r="B8" s="204"/>
      <c r="C8" s="209"/>
      <c r="D8" s="209"/>
      <c r="E8" s="383" t="s">
        <v>180</v>
      </c>
      <c r="F8" s="383"/>
      <c r="G8" s="383"/>
      <c r="H8" s="383"/>
      <c r="I8" s="209"/>
      <c r="J8" s="205"/>
    </row>
    <row r="9" spans="2:11" ht="18.75" thickBot="1" x14ac:dyDescent="0.3">
      <c r="B9" s="375" t="s">
        <v>73</v>
      </c>
      <c r="C9" s="376"/>
      <c r="D9" s="376"/>
      <c r="E9" s="376"/>
      <c r="F9" s="376"/>
      <c r="G9" s="376"/>
      <c r="H9" s="376"/>
      <c r="I9" s="376"/>
      <c r="J9" s="377"/>
    </row>
    <row r="10" spans="2:11" ht="22.5" customHeight="1" thickBot="1" x14ac:dyDescent="0.3">
      <c r="B10" s="58" t="s">
        <v>6</v>
      </c>
      <c r="C10" s="58" t="s">
        <v>74</v>
      </c>
      <c r="D10" s="58" t="s">
        <v>75</v>
      </c>
      <c r="E10" s="59" t="s">
        <v>76</v>
      </c>
      <c r="F10" s="60" t="s">
        <v>8</v>
      </c>
      <c r="G10" s="60" t="s">
        <v>77</v>
      </c>
      <c r="H10" s="61" t="s">
        <v>78</v>
      </c>
      <c r="I10" s="63" t="s">
        <v>79</v>
      </c>
      <c r="J10" s="62" t="s">
        <v>11</v>
      </c>
    </row>
    <row r="11" spans="2:11" s="51" customFormat="1" ht="24" customHeight="1" x14ac:dyDescent="0.25">
      <c r="B11" s="381" t="s">
        <v>80</v>
      </c>
      <c r="C11" s="382"/>
      <c r="D11" s="382"/>
      <c r="E11" s="382"/>
      <c r="F11" s="382"/>
      <c r="G11" s="382"/>
      <c r="H11" s="382"/>
      <c r="I11" s="382"/>
      <c r="J11" s="64">
        <f>SUM(J13:J19)</f>
        <v>0</v>
      </c>
      <c r="K11" s="19"/>
    </row>
    <row r="12" spans="2:11" ht="15" x14ac:dyDescent="0.25">
      <c r="B12" s="14">
        <v>1</v>
      </c>
      <c r="C12" s="378" t="s">
        <v>10</v>
      </c>
      <c r="D12" s="379"/>
      <c r="E12" s="379"/>
      <c r="F12" s="379"/>
      <c r="G12" s="379"/>
      <c r="H12" s="379"/>
      <c r="I12" s="379"/>
      <c r="J12" s="380"/>
    </row>
    <row r="13" spans="2:11" x14ac:dyDescent="0.25">
      <c r="B13" s="121" t="s">
        <v>12</v>
      </c>
      <c r="C13" s="122" t="s">
        <v>81</v>
      </c>
      <c r="D13" s="129">
        <f>VLOOKUP(B13,'MEMÓRIA DE CÁLCULO'!$B:$H,2,)</f>
        <v>20101</v>
      </c>
      <c r="E13" s="130" t="str">
        <f>VLOOKUP(B13,'MEMÓRIA DE CÁLCULO'!$B:$H,3,)</f>
        <v>DEMOLICAO COBERTURA TELHA CERAMICA C/ TRANSP. ATÉ CB. E CARGA</v>
      </c>
      <c r="F13" s="131" t="str">
        <f>VLOOKUP(B13,'MEMÓRIA DE CÁLCULO'!$B:$H,4,)</f>
        <v>m²</v>
      </c>
      <c r="G13" s="131">
        <f>VLOOKUP(B13,'MEMÓRIA DE CÁLCULO'!$B:$H,7,)</f>
        <v>532.55333999999993</v>
      </c>
      <c r="H13" s="132"/>
      <c r="I13" s="132"/>
      <c r="J13" s="133"/>
      <c r="K13" s="117"/>
    </row>
    <row r="14" spans="2:11" x14ac:dyDescent="0.25">
      <c r="B14" s="75" t="s">
        <v>21</v>
      </c>
      <c r="C14" s="65" t="s">
        <v>81</v>
      </c>
      <c r="D14" s="82">
        <f>VLOOKUP(B14,'MEMÓRIA DE CÁLCULO'!$B:$H,2,)</f>
        <v>20102</v>
      </c>
      <c r="E14" s="84" t="str">
        <f>VLOOKUP(B14,'MEMÓRIA DE CÁLCULO'!$B:$H,3,)</f>
        <v>DEMOLICAO-COBERTURA TELHA FIBROCIMENTO/FIBRA DE VIDRO/SIMILARES C/ TRANSP. ATÉ CB. E CARGA</v>
      </c>
      <c r="F14" s="131" t="str">
        <f>VLOOKUP(B14,'MEMÓRIA DE CÁLCULO'!$B:$H,4,)</f>
        <v>m²</v>
      </c>
      <c r="G14" s="69">
        <f>VLOOKUP(B14,'MEMÓRIA DE CÁLCULO'!$B:$H,7,)</f>
        <v>730.8590999999999</v>
      </c>
      <c r="H14" s="67"/>
      <c r="I14" s="67"/>
      <c r="J14" s="76"/>
      <c r="K14" s="117"/>
    </row>
    <row r="15" spans="2:11" x14ac:dyDescent="0.25">
      <c r="B15" s="75" t="s">
        <v>31</v>
      </c>
      <c r="C15" s="65" t="s">
        <v>81</v>
      </c>
      <c r="D15" s="82">
        <f>VLOOKUP(B15,'MEMÓRIA DE CÁLCULO'!$B:$H,2,)</f>
        <v>20103</v>
      </c>
      <c r="E15" s="84" t="str">
        <f>VLOOKUP(B15,'MEMÓRIA DE CÁLCULO'!$B:$H,3,)</f>
        <v>DEMOLIÇÃO MANUAL ESTRUTURA EM MADEIRA TELHADO C/ TRANSP. ATÉ CB. E CARGA</v>
      </c>
      <c r="F15" s="131" t="str">
        <f>VLOOKUP(B15,'MEMÓRIA DE CÁLCULO'!$B:$H,4,)</f>
        <v>m²</v>
      </c>
      <c r="G15" s="69">
        <f>VLOOKUP(B15,'MEMÓRIA DE CÁLCULO'!$B:$H,7,)</f>
        <v>1012.7107000000001</v>
      </c>
      <c r="H15" s="67"/>
      <c r="I15" s="67"/>
      <c r="J15" s="76"/>
      <c r="K15" s="117"/>
    </row>
    <row r="16" spans="2:11" x14ac:dyDescent="0.25">
      <c r="B16" s="75" t="s">
        <v>33</v>
      </c>
      <c r="C16" s="65" t="s">
        <v>81</v>
      </c>
      <c r="D16" s="82">
        <f>VLOOKUP(B16,'MEMÓRIA DE CÁLCULO'!$B:$H,2,)</f>
        <v>20157</v>
      </c>
      <c r="E16" s="84" t="str">
        <f>VLOOKUP(B16,'MEMÓRIA DE CÁLCULO'!$B:$H,3,)</f>
        <v>DEMOLIÇÃO MANUAL DE CALHA/RUFO EM CHAPA C/TR.ATÉ CB. E CARGA</v>
      </c>
      <c r="F16" s="131" t="str">
        <f>VLOOKUP(B16,'MEMÓRIA DE CÁLCULO'!$B:$H,4,)</f>
        <v>m²</v>
      </c>
      <c r="G16" s="69">
        <f>VLOOKUP(B16,'MEMÓRIA DE CÁLCULO'!$B:$H,7,)</f>
        <v>36.64</v>
      </c>
      <c r="H16" s="67"/>
      <c r="I16" s="67"/>
      <c r="J16" s="76"/>
      <c r="K16" s="117"/>
    </row>
    <row r="17" spans="2:11" x14ac:dyDescent="0.25">
      <c r="B17" s="75" t="s">
        <v>157</v>
      </c>
      <c r="C17" s="65"/>
      <c r="D17" s="82" t="str">
        <f>VLOOKUP(B17,'MEMÓRIA DE CÁLCULO'!$B:$H,2,)</f>
        <v>15506 SIURB</v>
      </c>
      <c r="E17" s="84" t="str">
        <f>VLOOKUP(B17,'MEMÓRIA DE CÁLCULO'!$B:$H,3,)</f>
        <v>RETIRADA DE ESTRUTURA METÁLICA INCLUSIVE PERFIS DE FIXAÇÃO</v>
      </c>
      <c r="F17" s="131" t="str">
        <f>VLOOKUP(B17,'MEMÓRIA DE CÁLCULO'!$B:$H,4,)</f>
        <v>kg</v>
      </c>
      <c r="G17" s="69">
        <f>VLOOKUP(B17,'MEMÓRIA DE CÁLCULO'!$B:$H,7,)</f>
        <v>714.16160000000002</v>
      </c>
      <c r="H17" s="67"/>
      <c r="I17" s="67"/>
      <c r="J17" s="76"/>
      <c r="K17" s="117"/>
    </row>
    <row r="18" spans="2:11" x14ac:dyDescent="0.25">
      <c r="B18" s="75" t="s">
        <v>228</v>
      </c>
      <c r="C18" s="65" t="s">
        <v>81</v>
      </c>
      <c r="D18" s="82">
        <f>VLOOKUP(B18,'MEMÓRIA DE CÁLCULO'!$B:$H,2,)</f>
        <v>20147</v>
      </c>
      <c r="E18" s="84" t="str">
        <f>VLOOKUP(B18,'MEMÓRIA DE CÁLCULO'!$B:$H,3,)</f>
        <v>DEMOLIÇÃO MANUAL DE FORRO PVC INCLUSIVE ESTRUTURA DE SUSTENTAÇÃO C/ TRANSP. ATÉ CB. E CARGA</v>
      </c>
      <c r="F18" s="131" t="str">
        <f>VLOOKUP(B18,'MEMÓRIA DE CÁLCULO'!$B:$H,4,)</f>
        <v>m²</v>
      </c>
      <c r="G18" s="69">
        <f>VLOOKUP(B18,'MEMÓRIA DE CÁLCULO'!$B:$H,7,)</f>
        <v>506.69460000000004</v>
      </c>
      <c r="H18" s="67"/>
      <c r="I18" s="67"/>
      <c r="J18" s="76"/>
      <c r="K18" s="117"/>
    </row>
    <row r="19" spans="2:11" x14ac:dyDescent="0.25">
      <c r="B19" s="75" t="s">
        <v>259</v>
      </c>
      <c r="C19" s="65" t="s">
        <v>81</v>
      </c>
      <c r="D19" s="82">
        <f>VLOOKUP(B19,'MEMÓRIA DE CÁLCULO'!$B:$H,2,)</f>
        <v>21301</v>
      </c>
      <c r="E19" s="84" t="str">
        <f>VLOOKUP(B19,'MEMÓRIA DE CÁLCULO'!$B:$H,3,)</f>
        <v>PLACA DE OBRA PLOTADA EM CHAPA METÁLICA 26 , AFIXADA EM CAVALETES DE MADEIRA DE LEI (VIGOTAS 6X12CM) - PADRÃO GOINFRA</v>
      </c>
      <c r="F19" s="131" t="str">
        <f>VLOOKUP(B19,'MEMÓRIA DE CÁLCULO'!$B:$H,4,)</f>
        <v>m²</v>
      </c>
      <c r="G19" s="69">
        <f>VLOOKUP(B19,'MEMÓRIA DE CÁLCULO'!$B:$H,7,)</f>
        <v>3</v>
      </c>
      <c r="H19" s="67"/>
      <c r="I19" s="67"/>
      <c r="J19" s="76"/>
      <c r="K19" s="117"/>
    </row>
    <row r="20" spans="2:11" x14ac:dyDescent="0.25">
      <c r="B20" s="17"/>
      <c r="C20" s="233"/>
      <c r="D20" s="242"/>
      <c r="E20" s="243"/>
      <c r="F20" s="228"/>
      <c r="G20" s="235"/>
      <c r="H20" s="91"/>
      <c r="I20" s="91"/>
      <c r="J20" s="92"/>
      <c r="K20" s="117"/>
    </row>
    <row r="21" spans="2:11" ht="15" x14ac:dyDescent="0.25">
      <c r="B21" s="364" t="s">
        <v>82</v>
      </c>
      <c r="C21" s="365"/>
      <c r="D21" s="365"/>
      <c r="E21" s="365"/>
      <c r="F21" s="365"/>
      <c r="G21" s="365"/>
      <c r="H21" s="365"/>
      <c r="I21" s="365"/>
      <c r="J21" s="245">
        <f>SUM(J23:J24)</f>
        <v>0</v>
      </c>
      <c r="K21" s="117"/>
    </row>
    <row r="22" spans="2:11" ht="15" x14ac:dyDescent="0.25">
      <c r="B22" s="14">
        <v>2</v>
      </c>
      <c r="C22" s="362" t="s">
        <v>40</v>
      </c>
      <c r="D22" s="362"/>
      <c r="E22" s="362"/>
      <c r="F22" s="362"/>
      <c r="G22" s="362"/>
      <c r="H22" s="362"/>
      <c r="I22" s="362"/>
      <c r="J22" s="363"/>
      <c r="K22" s="117"/>
    </row>
    <row r="23" spans="2:11" x14ac:dyDescent="0.25">
      <c r="B23" s="121" t="s">
        <v>41</v>
      </c>
      <c r="C23" s="122" t="s">
        <v>81</v>
      </c>
      <c r="D23" s="122">
        <f>VLOOKUP($B$23,'MEMÓRIA DE CÁLCULO'!$B:$H,2,)</f>
        <v>30101</v>
      </c>
      <c r="E23" s="134" t="str">
        <f>VLOOKUP($B$23,'MEMÓRIA DE CÁLCULO'!$B:$H,3,)</f>
        <v>TRANSPORTE DE ENTULHO EM CAMINHÃO INCLUSO A CARGA MANUAL</v>
      </c>
      <c r="F23" s="124" t="s">
        <v>83</v>
      </c>
      <c r="G23" s="131">
        <f>VLOOKUP(B23,'MEMÓRIA DE CÁLCULO'!B:H,7,)</f>
        <v>127.73082140000001</v>
      </c>
      <c r="H23" s="135"/>
      <c r="I23" s="135"/>
      <c r="J23" s="136"/>
      <c r="K23" s="117"/>
    </row>
    <row r="24" spans="2:11" x14ac:dyDescent="0.25">
      <c r="B24" s="372"/>
      <c r="C24" s="373"/>
      <c r="D24" s="373"/>
      <c r="E24" s="373"/>
      <c r="F24" s="373"/>
      <c r="G24" s="373"/>
      <c r="H24" s="373"/>
      <c r="I24" s="373"/>
      <c r="J24" s="374"/>
      <c r="K24" s="117"/>
    </row>
    <row r="25" spans="2:11" ht="15" x14ac:dyDescent="0.25">
      <c r="B25" s="359" t="s">
        <v>209</v>
      </c>
      <c r="C25" s="360"/>
      <c r="D25" s="360"/>
      <c r="E25" s="360"/>
      <c r="F25" s="360"/>
      <c r="G25" s="360"/>
      <c r="H25" s="360"/>
      <c r="I25" s="361"/>
      <c r="J25" s="57">
        <f>SUM(J27)</f>
        <v>0</v>
      </c>
      <c r="K25" s="117"/>
    </row>
    <row r="26" spans="2:11" ht="15" x14ac:dyDescent="0.25">
      <c r="B26" s="14">
        <v>3</v>
      </c>
      <c r="C26" s="362" t="s">
        <v>207</v>
      </c>
      <c r="D26" s="362"/>
      <c r="E26" s="362"/>
      <c r="F26" s="362"/>
      <c r="G26" s="362"/>
      <c r="H26" s="362"/>
      <c r="I26" s="362"/>
      <c r="J26" s="363"/>
      <c r="K26" s="117"/>
    </row>
    <row r="27" spans="2:11" x14ac:dyDescent="0.25">
      <c r="B27" s="121" t="s">
        <v>134</v>
      </c>
      <c r="C27" s="122" t="s">
        <v>81</v>
      </c>
      <c r="D27" s="122">
        <f>VLOOKUP(B27,'MEMÓRIA DE CÁLCULO'!$B:$H,2,)</f>
        <v>67022</v>
      </c>
      <c r="E27" s="134" t="str">
        <f>VLOOKUP(B27,'MEMÓRIA DE CÁLCULO'!$B:$H,3,)</f>
        <v>LIMPEZA DO SUBSTRATO COM APLICAÇÃO DE JATO DE ÁGUA FRIA</v>
      </c>
      <c r="F27" s="131" t="str">
        <f>VLOOKUP(B27,'MEMÓRIA DE CÁLCULO'!$B:$H,4,)</f>
        <v>m²</v>
      </c>
      <c r="G27" s="131">
        <f>VLOOKUP(B27,'MEMÓRIA DE CÁLCULO'!B:H,7,)</f>
        <v>405.75939999999997</v>
      </c>
      <c r="H27" s="135"/>
      <c r="I27" s="135"/>
      <c r="J27" s="136"/>
      <c r="K27" s="117"/>
    </row>
    <row r="28" spans="2:11" x14ac:dyDescent="0.25">
      <c r="B28" s="17"/>
      <c r="C28" s="233"/>
      <c r="D28" s="233"/>
      <c r="E28" s="234"/>
      <c r="F28" s="228"/>
      <c r="G28" s="235"/>
      <c r="H28" s="236"/>
      <c r="I28" s="236"/>
      <c r="J28" s="237"/>
      <c r="K28" s="117"/>
    </row>
    <row r="29" spans="2:11" ht="15" x14ac:dyDescent="0.25">
      <c r="B29" s="364" t="s">
        <v>255</v>
      </c>
      <c r="C29" s="365"/>
      <c r="D29" s="365"/>
      <c r="E29" s="365"/>
      <c r="F29" s="365"/>
      <c r="G29" s="365"/>
      <c r="H29" s="365"/>
      <c r="I29" s="365"/>
      <c r="J29" s="245">
        <f>SUM(J31:J33)</f>
        <v>0</v>
      </c>
      <c r="K29" s="117"/>
    </row>
    <row r="30" spans="2:11" ht="15" x14ac:dyDescent="0.25">
      <c r="B30" s="14">
        <v>4</v>
      </c>
      <c r="C30" s="362" t="s">
        <v>234</v>
      </c>
      <c r="D30" s="362"/>
      <c r="E30" s="362"/>
      <c r="F30" s="362"/>
      <c r="G30" s="362"/>
      <c r="H30" s="362"/>
      <c r="I30" s="362"/>
      <c r="J30" s="363"/>
      <c r="K30" s="117"/>
    </row>
    <row r="31" spans="2:11" x14ac:dyDescent="0.25">
      <c r="B31" s="121" t="s">
        <v>164</v>
      </c>
      <c r="C31" s="122" t="s">
        <v>81</v>
      </c>
      <c r="D31" s="122">
        <f>VLOOKUP(B31,'MEMÓRIA DE CÁLCULO'!$B:$H,2,)</f>
        <v>70580</v>
      </c>
      <c r="E31" s="134" t="str">
        <f>VLOOKUP(B31,'MEMÓRIA DE CÁLCULO'!$B:$H,3,)</f>
        <v>CABO PVC (70ºC) 1 KV No 1,5 MM2</v>
      </c>
      <c r="F31" s="131" t="str">
        <f>VLOOKUP(B31,'MEMÓRIA DE CÁLCULO'!$B:$H,4,)</f>
        <v>m</v>
      </c>
      <c r="G31" s="131">
        <f>VLOOKUP(B31,'MEMÓRIA DE CÁLCULO'!B:H,7,)</f>
        <v>300</v>
      </c>
      <c r="H31" s="135"/>
      <c r="I31" s="135"/>
      <c r="J31" s="136"/>
      <c r="K31" s="117"/>
    </row>
    <row r="32" spans="2:11" x14ac:dyDescent="0.25">
      <c r="B32" s="121" t="s">
        <v>210</v>
      </c>
      <c r="C32" s="122" t="s">
        <v>81</v>
      </c>
      <c r="D32" s="122">
        <f>VLOOKUP(B32,'MEMÓRIA DE CÁLCULO'!$B:$H,2,)</f>
        <v>70581</v>
      </c>
      <c r="E32" s="134" t="str">
        <f>VLOOKUP(B32,'MEMÓRIA DE CÁLCULO'!$B:$H,3,)</f>
        <v>CABO PVC (70ºC) 1 KV No. 2,5 MM2</v>
      </c>
      <c r="F32" s="131" t="str">
        <f>VLOOKUP(B32,'MEMÓRIA DE CÁLCULO'!$B:$H,4,)</f>
        <v>m</v>
      </c>
      <c r="G32" s="131">
        <f>VLOOKUP(B32,'MEMÓRIA DE CÁLCULO'!B:H,7,)</f>
        <v>200</v>
      </c>
      <c r="H32" s="135"/>
      <c r="I32" s="135"/>
      <c r="J32" s="136"/>
      <c r="K32" s="117"/>
    </row>
    <row r="33" spans="2:11" x14ac:dyDescent="0.25">
      <c r="B33" s="121" t="s">
        <v>211</v>
      </c>
      <c r="C33" s="122" t="s">
        <v>81</v>
      </c>
      <c r="D33" s="122">
        <f>VLOOKUP(B33,'MEMÓRIA DE CÁLCULO'!$B:$H,2,)</f>
        <v>70582</v>
      </c>
      <c r="E33" s="134" t="str">
        <f>VLOOKUP(B33,'MEMÓRIA DE CÁLCULO'!$B:$H,3,)</f>
        <v>CABO PVC (70ºC) 1 KV No. 4 MM2</v>
      </c>
      <c r="F33" s="131" t="str">
        <f>VLOOKUP(B33,'MEMÓRIA DE CÁLCULO'!$B:$H,4,)</f>
        <v>m</v>
      </c>
      <c r="G33" s="131">
        <f>VLOOKUP(B33,'MEMÓRIA DE CÁLCULO'!B:H,7,)</f>
        <v>200</v>
      </c>
      <c r="H33" s="135"/>
      <c r="I33" s="135"/>
      <c r="J33" s="136"/>
      <c r="K33" s="117"/>
    </row>
    <row r="34" spans="2:11" x14ac:dyDescent="0.25">
      <c r="B34" s="17"/>
      <c r="C34" s="233"/>
      <c r="D34" s="233"/>
      <c r="E34" s="234"/>
      <c r="F34" s="235"/>
      <c r="G34" s="235"/>
      <c r="H34" s="236"/>
      <c r="I34" s="236"/>
      <c r="J34" s="237"/>
      <c r="K34" s="117"/>
    </row>
    <row r="35" spans="2:11" ht="15" x14ac:dyDescent="0.25">
      <c r="B35" s="366" t="s">
        <v>179</v>
      </c>
      <c r="C35" s="367"/>
      <c r="D35" s="367"/>
      <c r="E35" s="367"/>
      <c r="F35" s="367"/>
      <c r="G35" s="367"/>
      <c r="H35" s="367"/>
      <c r="I35" s="368"/>
      <c r="J35" s="186">
        <f>SUM(J37:J43)</f>
        <v>0</v>
      </c>
      <c r="K35" s="117"/>
    </row>
    <row r="36" spans="2:11" ht="15" x14ac:dyDescent="0.25">
      <c r="B36" s="14">
        <v>5</v>
      </c>
      <c r="C36" s="362" t="s">
        <v>105</v>
      </c>
      <c r="D36" s="362"/>
      <c r="E36" s="362"/>
      <c r="F36" s="362"/>
      <c r="G36" s="362"/>
      <c r="H36" s="362"/>
      <c r="I36" s="362"/>
      <c r="J36" s="363"/>
      <c r="K36" s="117"/>
    </row>
    <row r="37" spans="2:11" x14ac:dyDescent="0.25">
      <c r="B37" s="75" t="s">
        <v>167</v>
      </c>
      <c r="C37" s="65" t="s">
        <v>81</v>
      </c>
      <c r="D37" s="82">
        <f>VLOOKUP(B37,'MEMÓRIA DE CÁLCULO'!$B:$H,2,)</f>
        <v>82304</v>
      </c>
      <c r="E37" s="84" t="str">
        <f>VLOOKUP(B37,'MEMÓRIA DE CÁLCULO'!$B:$H,3,)</f>
        <v>TUBO SOLDAVEL P/ESGOTO DIAM. 100 MM</v>
      </c>
      <c r="F37" s="131" t="str">
        <f>VLOOKUP(B37,'MEMÓRIA DE CÁLCULO'!$B:$H,4,)</f>
        <v>m</v>
      </c>
      <c r="G37" s="69">
        <f>VLOOKUP(B37,'MEMÓRIA DE CÁLCULO'!$B:$H,7,)</f>
        <v>66</v>
      </c>
      <c r="H37" s="67"/>
      <c r="I37" s="67"/>
      <c r="J37" s="76"/>
      <c r="K37" s="117"/>
    </row>
    <row r="38" spans="2:11" x14ac:dyDescent="0.25">
      <c r="B38" s="75" t="s">
        <v>168</v>
      </c>
      <c r="C38" s="65" t="s">
        <v>81</v>
      </c>
      <c r="D38" s="82">
        <f>VLOOKUP(B38,'MEMÓRIA DE CÁLCULO'!$B:$H,2,)</f>
        <v>82332</v>
      </c>
      <c r="E38" s="84" t="str">
        <f>VLOOKUP(B38,'MEMÓRIA DE CÁLCULO'!$B:$H,3,)</f>
        <v>TUBO LEVE PVC RIGIDO DIAMETRO 200 MM</v>
      </c>
      <c r="F38" s="131" t="str">
        <f>VLOOKUP(B38,'MEMÓRIA DE CÁLCULO'!$B:$H,4,)</f>
        <v>m</v>
      </c>
      <c r="G38" s="69">
        <f>VLOOKUP(B38,'MEMÓRIA DE CÁLCULO'!$B:$H,7,)</f>
        <v>3</v>
      </c>
      <c r="H38" s="67"/>
      <c r="I38" s="67"/>
      <c r="J38" s="76"/>
      <c r="K38" s="117"/>
    </row>
    <row r="39" spans="2:11" x14ac:dyDescent="0.25">
      <c r="B39" s="75" t="s">
        <v>235</v>
      </c>
      <c r="C39" s="65"/>
      <c r="D39" s="82" t="str">
        <f>VLOOKUP(B39,'MEMÓRIA DE CÁLCULO'!$B:$H,2,)</f>
        <v>COMPOSIÇÃO 2</v>
      </c>
      <c r="E39" s="84" t="str">
        <f>VLOOKUP(B39,'MEMÓRIA DE CÁLCULO'!$B:$H,3,)</f>
        <v>RALO ABACAXI 100 MM 4''</v>
      </c>
      <c r="F39" s="131" t="str">
        <f>VLOOKUP(B39,'MEMÓRIA DE CÁLCULO'!$B:$H,4,)</f>
        <v>und</v>
      </c>
      <c r="G39" s="69">
        <f>VLOOKUP(B39,'MEMÓRIA DE CÁLCULO'!$B:$H,7,)</f>
        <v>36</v>
      </c>
      <c r="H39" s="67"/>
      <c r="I39" s="67"/>
      <c r="J39" s="76"/>
      <c r="K39" s="117"/>
    </row>
    <row r="40" spans="2:11" x14ac:dyDescent="0.25">
      <c r="B40" s="75" t="s">
        <v>236</v>
      </c>
      <c r="C40" s="65"/>
      <c r="D40" s="82" t="str">
        <f>VLOOKUP(B40,'MEMÓRIA DE CÁLCULO'!$B:$H,2,)</f>
        <v>COMPOSIÇÃO 1</v>
      </c>
      <c r="E40" s="84" t="e">
        <f>VLOOKUP(B40,'MEMÓRIA DE CÁLCULO'!$B:$H,3,)</f>
        <v>#REF!</v>
      </c>
      <c r="F40" s="131" t="str">
        <f>VLOOKUP(B40,'MEMÓRIA DE CÁLCULO'!$B:$H,4,)</f>
        <v>und</v>
      </c>
      <c r="G40" s="69">
        <f>VLOOKUP(B40,'MEMÓRIA DE CÁLCULO'!$B:$H,7,)</f>
        <v>94</v>
      </c>
      <c r="H40" s="67"/>
      <c r="I40" s="67"/>
      <c r="J40" s="76"/>
      <c r="K40" s="117"/>
    </row>
    <row r="41" spans="2:11" x14ac:dyDescent="0.25">
      <c r="B41" s="75" t="s">
        <v>237</v>
      </c>
      <c r="C41" s="65" t="s">
        <v>81</v>
      </c>
      <c r="D41" s="82">
        <f>VLOOKUP(B41,'MEMÓRIA DE CÁLCULO'!$B:$H,2,)</f>
        <v>81829</v>
      </c>
      <c r="E41" s="84" t="str">
        <f>VLOOKUP(B41,'MEMÓRIA DE CÁLCULO'!$B:$H,3,)</f>
        <v xml:space="preserve">CAIXA DE INSPEÇÃO - TAMPA EM CONCRETO ARMADO 25 MPA E=5CM m2 </v>
      </c>
      <c r="F41" s="131" t="str">
        <f>VLOOKUP(B41,'MEMÓRIA DE CÁLCULO'!$B:$H,4,)</f>
        <v>m²</v>
      </c>
      <c r="G41" s="69">
        <f>VLOOKUP(B41,'MEMÓRIA DE CÁLCULO'!$B:$H,7,)</f>
        <v>0.25</v>
      </c>
      <c r="H41" s="67"/>
      <c r="I41" s="67"/>
      <c r="J41" s="76"/>
      <c r="K41" s="117"/>
    </row>
    <row r="42" spans="2:11" x14ac:dyDescent="0.25">
      <c r="B42" s="75" t="s">
        <v>249</v>
      </c>
      <c r="C42" s="65" t="s">
        <v>81</v>
      </c>
      <c r="D42" s="82">
        <f>VLOOKUP(B42,'MEMÓRIA DE CÁLCULO'!$B:$H,2,)</f>
        <v>81938</v>
      </c>
      <c r="E42" s="84" t="str">
        <f>VLOOKUP(B42,'MEMÓRIA DE CÁLCULO'!$B:$H,3,)</f>
        <v>JOELHO 90 GRAUS DIAMETRO 100 MM</v>
      </c>
      <c r="F42" s="131" t="str">
        <f>VLOOKUP(B42,'MEMÓRIA DE CÁLCULO'!$B:$H,4,)</f>
        <v>und</v>
      </c>
      <c r="G42" s="69">
        <f>VLOOKUP(B42,'MEMÓRIA DE CÁLCULO'!$B:$H,7,)</f>
        <v>45</v>
      </c>
      <c r="H42" s="67"/>
      <c r="I42" s="67"/>
      <c r="J42" s="76"/>
      <c r="K42" s="117"/>
    </row>
    <row r="43" spans="2:11" x14ac:dyDescent="0.25">
      <c r="B43" s="75" t="s">
        <v>262</v>
      </c>
      <c r="C43" s="65" t="s">
        <v>81</v>
      </c>
      <c r="D43" s="82">
        <f>VLOOKUP(B43,'MEMÓRIA DE CÁLCULO'!$B:$H,2,)</f>
        <v>82004</v>
      </c>
      <c r="E43" s="84" t="str">
        <f>VLOOKUP(B43,'MEMÓRIA DE CÁLCULO'!$B:$H,3,)</f>
        <v>LUVA SIMPLES DIAM. 100 MM</v>
      </c>
      <c r="F43" s="131" t="str">
        <f>VLOOKUP(B43,'MEMÓRIA DE CÁLCULO'!$B:$H,4,)</f>
        <v>und</v>
      </c>
      <c r="G43" s="69">
        <f>VLOOKUP(B43,'MEMÓRIA DE CÁLCULO'!$B:$H,7,)</f>
        <v>10</v>
      </c>
      <c r="H43" s="67"/>
      <c r="I43" s="67"/>
      <c r="J43" s="76"/>
      <c r="K43" s="117"/>
    </row>
    <row r="44" spans="2:11" x14ac:dyDescent="0.25">
      <c r="B44" s="217"/>
      <c r="C44" s="218"/>
      <c r="D44" s="218"/>
      <c r="E44" s="218"/>
      <c r="F44" s="218"/>
      <c r="G44" s="218"/>
      <c r="H44" s="218"/>
      <c r="I44" s="218"/>
      <c r="J44" s="219"/>
      <c r="K44" s="117"/>
    </row>
    <row r="45" spans="2:11" ht="15" x14ac:dyDescent="0.25">
      <c r="B45" s="366" t="s">
        <v>84</v>
      </c>
      <c r="C45" s="367"/>
      <c r="D45" s="367"/>
      <c r="E45" s="367"/>
      <c r="F45" s="367"/>
      <c r="G45" s="367"/>
      <c r="H45" s="367"/>
      <c r="I45" s="368"/>
      <c r="J45" s="44">
        <f>SUM(J47:J47)</f>
        <v>0</v>
      </c>
      <c r="K45" s="117"/>
    </row>
    <row r="46" spans="2:11" ht="15" x14ac:dyDescent="0.25">
      <c r="B46" s="14">
        <v>6</v>
      </c>
      <c r="C46" s="362" t="s">
        <v>85</v>
      </c>
      <c r="D46" s="362"/>
      <c r="E46" s="362"/>
      <c r="F46" s="362"/>
      <c r="G46" s="362"/>
      <c r="H46" s="362"/>
      <c r="I46" s="362"/>
      <c r="J46" s="363"/>
      <c r="K46" s="117"/>
    </row>
    <row r="47" spans="2:11" x14ac:dyDescent="0.25">
      <c r="B47" s="75" t="s">
        <v>169</v>
      </c>
      <c r="C47" s="65" t="s">
        <v>81</v>
      </c>
      <c r="D47" s="85">
        <f>VLOOKUP(B47,'MEMÓRIA DE CÁLCULO'!B:H,2,)</f>
        <v>100160</v>
      </c>
      <c r="E47" s="68" t="str">
        <f>VLOOKUP(B47,'MEMÓRIA DE CÁLCULO'!B:H,3,)</f>
        <v>ALVENARIA DE TIJOLO FURADO 1/2 VEZ 14X29X9 - 6 FUROS - ARG. (1CALH:4ARML+100KG DE CI/M3)</v>
      </c>
      <c r="F47" s="66" t="s">
        <v>14</v>
      </c>
      <c r="G47" s="66">
        <f>VLOOKUP(B47,'MEMÓRIA DE CÁLCULO'!B:H,7,)</f>
        <v>205.79400000000004</v>
      </c>
      <c r="H47" s="73"/>
      <c r="I47" s="73"/>
      <c r="J47" s="77"/>
      <c r="K47" s="117"/>
    </row>
    <row r="48" spans="2:11" x14ac:dyDescent="0.25">
      <c r="B48" s="17"/>
      <c r="C48" s="233"/>
      <c r="D48" s="238"/>
      <c r="E48" s="199"/>
      <c r="F48" s="228"/>
      <c r="G48" s="228"/>
      <c r="H48" s="25"/>
      <c r="I48" s="25"/>
      <c r="J48" s="237"/>
      <c r="K48" s="117"/>
    </row>
    <row r="49" spans="2:11" ht="15" x14ac:dyDescent="0.25">
      <c r="B49" s="364" t="s">
        <v>216</v>
      </c>
      <c r="C49" s="365"/>
      <c r="D49" s="365"/>
      <c r="E49" s="365"/>
      <c r="F49" s="365"/>
      <c r="G49" s="365"/>
      <c r="H49" s="365"/>
      <c r="I49" s="365"/>
      <c r="J49" s="245">
        <f>SUM(J51)</f>
        <v>0</v>
      </c>
      <c r="K49" s="117"/>
    </row>
    <row r="50" spans="2:11" ht="15" x14ac:dyDescent="0.25">
      <c r="B50" s="14">
        <v>7</v>
      </c>
      <c r="C50" s="362" t="s">
        <v>213</v>
      </c>
      <c r="D50" s="362"/>
      <c r="E50" s="362"/>
      <c r="F50" s="362"/>
      <c r="G50" s="362"/>
      <c r="H50" s="362"/>
      <c r="I50" s="362"/>
      <c r="J50" s="363"/>
      <c r="K50" s="117"/>
    </row>
    <row r="51" spans="2:11" x14ac:dyDescent="0.25">
      <c r="B51" s="121" t="s">
        <v>173</v>
      </c>
      <c r="C51" s="122" t="s">
        <v>88</v>
      </c>
      <c r="D51" s="122" t="str">
        <f>VLOOKUP(B51,'MEMÓRIA DE CÁLCULO'!$B:$H,2,)</f>
        <v>98557 SINAPI</v>
      </c>
      <c r="E51" s="134" t="str">
        <f>VLOOKUP(B51,'MEMÓRIA DE CÁLCULO'!$B:$H,3,)</f>
        <v>IMPERMEABILIZAÇÃO DE SUPERFÍCIE COM EMULSÃO ASFÁLTICA, 2 DEMÃOS</v>
      </c>
      <c r="F51" s="131" t="str">
        <f>VLOOKUP(B51,'MEMÓRIA DE CÁLCULO'!$B:$H,4,)</f>
        <v>m²</v>
      </c>
      <c r="G51" s="131">
        <f>VLOOKUP(B51,'MEMÓRIA DE CÁLCULO'!B:H,7,)</f>
        <v>381.34</v>
      </c>
      <c r="H51" s="135"/>
      <c r="I51" s="135"/>
      <c r="J51" s="136"/>
      <c r="K51" s="117"/>
    </row>
    <row r="52" spans="2:11" x14ac:dyDescent="0.25">
      <c r="B52" s="17"/>
      <c r="C52" s="233"/>
      <c r="D52" s="233"/>
      <c r="E52" s="199"/>
      <c r="F52" s="228"/>
      <c r="G52" s="228"/>
      <c r="H52" s="86"/>
      <c r="I52" s="86"/>
      <c r="J52" s="87"/>
      <c r="K52" s="117"/>
    </row>
    <row r="53" spans="2:11" ht="15" x14ac:dyDescent="0.25">
      <c r="B53" s="364" t="s">
        <v>86</v>
      </c>
      <c r="C53" s="365"/>
      <c r="D53" s="365"/>
      <c r="E53" s="365"/>
      <c r="F53" s="365"/>
      <c r="G53" s="365"/>
      <c r="H53" s="365"/>
      <c r="I53" s="365"/>
      <c r="J53" s="44">
        <f>SUM(J55:J56)</f>
        <v>0</v>
      </c>
      <c r="K53" s="117"/>
    </row>
    <row r="54" spans="2:11" ht="15" x14ac:dyDescent="0.25">
      <c r="B54" s="14">
        <v>8</v>
      </c>
      <c r="C54" s="378" t="s">
        <v>87</v>
      </c>
      <c r="D54" s="379"/>
      <c r="E54" s="379"/>
      <c r="F54" s="379"/>
      <c r="G54" s="379"/>
      <c r="H54" s="379"/>
      <c r="I54" s="379"/>
      <c r="J54" s="380"/>
      <c r="K54" s="117"/>
    </row>
    <row r="55" spans="2:11" ht="45" customHeight="1" x14ac:dyDescent="0.25">
      <c r="B55" s="75" t="s">
        <v>176</v>
      </c>
      <c r="C55" s="70" t="s">
        <v>88</v>
      </c>
      <c r="D55" s="65" t="str">
        <f>VLOOKUP(B55,'MEMÓRIA DE CÁLCULO'!B:H,2,)</f>
        <v>100384 SINAPI</v>
      </c>
      <c r="E55" s="68" t="str">
        <f>VLOOKUP(B55,'MEMÓRIA DE CÁLCULO'!B:H,3,)</f>
        <v>FABRICAÇÃO E INSTALAÇÃO DE PONTALETES DE MADEIRA NÃO APARELHADA PARA TELHA DOS COM ATÉ 2 ÁGUAS E COM TELHA ONDULADA DE FIBROCIMENTO, ALUMÍNIO OU PLÁS TICA EM EDIFÍCIO INSTITUCIONAL TÉRREO, INCLUSO TRANSPORTE VERTICAL</v>
      </c>
      <c r="F55" s="66" t="s">
        <v>14</v>
      </c>
      <c r="G55" s="66">
        <f>VLOOKUP(B55,'MEMÓRIA DE CÁLCULO'!B:H,7,)</f>
        <v>975.21130000000005</v>
      </c>
      <c r="H55" s="72"/>
      <c r="I55" s="72"/>
      <c r="J55" s="78"/>
      <c r="K55" s="117"/>
    </row>
    <row r="56" spans="2:11" ht="23.25" customHeight="1" x14ac:dyDescent="0.25">
      <c r="B56" s="75" t="s">
        <v>177</v>
      </c>
      <c r="C56" s="65" t="s">
        <v>81</v>
      </c>
      <c r="D56" s="65">
        <f>VLOOKUP(B56,'MEMÓRIA DE CÁLCULO'!B:H,2,)</f>
        <v>140202</v>
      </c>
      <c r="E56" s="68" t="str">
        <f>VLOOKUP(B56,'MEMÓRIA DE CÁLCULO'!B:H,3,)</f>
        <v>GRADEADO CAIBROS/RIPAS</v>
      </c>
      <c r="F56" s="66" t="s">
        <v>14</v>
      </c>
      <c r="G56" s="66">
        <f>VLOOKUP(B56,'MEMÓRIA DE CÁLCULO'!B:H,7,)</f>
        <v>137.59020000000001</v>
      </c>
      <c r="H56" s="72"/>
      <c r="I56" s="72"/>
      <c r="J56" s="78"/>
      <c r="K56" s="117"/>
    </row>
    <row r="57" spans="2:11" ht="15" customHeight="1" x14ac:dyDescent="0.25">
      <c r="B57" s="75"/>
      <c r="C57" s="89"/>
      <c r="D57" s="89"/>
      <c r="E57" s="89"/>
      <c r="F57" s="89"/>
      <c r="G57" s="89"/>
      <c r="H57" s="89"/>
      <c r="I57" s="89"/>
      <c r="J57" s="90"/>
      <c r="K57" s="117"/>
    </row>
    <row r="58" spans="2:11" ht="15" x14ac:dyDescent="0.25">
      <c r="B58" s="364" t="s">
        <v>89</v>
      </c>
      <c r="C58" s="365"/>
      <c r="D58" s="365"/>
      <c r="E58" s="365"/>
      <c r="F58" s="365"/>
      <c r="G58" s="365"/>
      <c r="H58" s="365"/>
      <c r="I58" s="365"/>
      <c r="J58" s="44">
        <f>SUM(J60:J64)</f>
        <v>0</v>
      </c>
      <c r="K58" s="117"/>
    </row>
    <row r="59" spans="2:11" ht="15" x14ac:dyDescent="0.25">
      <c r="B59" s="14">
        <v>9</v>
      </c>
      <c r="C59" s="378" t="s">
        <v>55</v>
      </c>
      <c r="D59" s="379"/>
      <c r="E59" s="379"/>
      <c r="F59" s="379"/>
      <c r="G59" s="379"/>
      <c r="H59" s="379"/>
      <c r="I59" s="379"/>
      <c r="J59" s="380"/>
      <c r="K59" s="117"/>
    </row>
    <row r="60" spans="2:11" x14ac:dyDescent="0.25">
      <c r="B60" s="121" t="s">
        <v>217</v>
      </c>
      <c r="C60" s="122" t="s">
        <v>81</v>
      </c>
      <c r="D60" s="122">
        <f>VLOOKUP(B60,'MEMÓRIA DE CÁLCULO'!B:H,2,)</f>
        <v>160501</v>
      </c>
      <c r="E60" s="123" t="str">
        <f>VLOOKUP(B60,'MEMÓRIA DE CÁLCULO'!B:H,3,)</f>
        <v>COBERTURA COM TELHA ONDULADA OU EQUIV.</v>
      </c>
      <c r="F60" s="131" t="str">
        <f>VLOOKUP(B60,'MEMÓRIA DE CÁLCULO'!$B:$H,4,)</f>
        <v>m²</v>
      </c>
      <c r="G60" s="124">
        <f>VLOOKUP(B60,'MEMÓRIA DE CÁLCULO'!B:H,7,)</f>
        <v>1088.1242</v>
      </c>
      <c r="H60" s="125"/>
      <c r="I60" s="125"/>
      <c r="J60" s="126"/>
      <c r="K60" s="117"/>
    </row>
    <row r="61" spans="2:11" x14ac:dyDescent="0.25">
      <c r="B61" s="121" t="s">
        <v>218</v>
      </c>
      <c r="C61" s="65" t="s">
        <v>88</v>
      </c>
      <c r="D61" s="65">
        <f>VLOOKUP(B61,'MEMÓRIA DE CÁLCULO'!B:H,2,)</f>
        <v>160401</v>
      </c>
      <c r="E61" s="68" t="str">
        <f>VLOOKUP(B61,'MEMÓRIA DE CÁLCULO'!B:H,3,)</f>
        <v>COBERTURA COM TELHA PLAN RESINADA COR VERMELHA</v>
      </c>
      <c r="F61" s="131" t="str">
        <f>VLOOKUP(B61,'MEMÓRIA DE CÁLCULO'!$B:$H,4,)</f>
        <v>m²</v>
      </c>
      <c r="G61" s="66">
        <f>VLOOKUP(B61,'MEMÓRIA DE CÁLCULO'!B:H,7,)</f>
        <v>165.28320000000002</v>
      </c>
      <c r="H61" s="72"/>
      <c r="I61" s="72"/>
      <c r="J61" s="78"/>
      <c r="K61" s="117"/>
    </row>
    <row r="62" spans="2:11" x14ac:dyDescent="0.25">
      <c r="B62" s="121" t="s">
        <v>219</v>
      </c>
      <c r="C62" s="65" t="s">
        <v>81</v>
      </c>
      <c r="D62" s="65">
        <f>VLOOKUP(B62,'MEMÓRIA DE CÁLCULO'!B:H,2,)</f>
        <v>160911</v>
      </c>
      <c r="E62" s="68" t="str">
        <f>VLOOKUP(B62,'MEMÓRIA DE CÁLCULO'!B:H,3,)</f>
        <v>COBERTURA COM TELHA FIBERGLASS COM VÉU PROTEÇÃO 1,5 MM COM ACESSÓRIOS</v>
      </c>
      <c r="F62" s="131" t="str">
        <f>VLOOKUP(B62,'MEMÓRIA DE CÁLCULO'!$B:$H,4,)</f>
        <v>m²</v>
      </c>
      <c r="G62" s="66">
        <f>VLOOKUP(B62,'MEMÓRIA DE CÁLCULO'!B:H,7,)</f>
        <v>81.337999999999994</v>
      </c>
      <c r="H62" s="72"/>
      <c r="I62" s="72"/>
      <c r="J62" s="78"/>
      <c r="K62" s="117"/>
    </row>
    <row r="63" spans="2:11" ht="28.5" x14ac:dyDescent="0.25">
      <c r="B63" s="121" t="s">
        <v>238</v>
      </c>
      <c r="C63" s="65"/>
      <c r="D63" s="65" t="str">
        <f>VLOOKUP(B63,'MEMÓRIA DE CÁLCULO'!B:H,2,)</f>
        <v>SINAPI 94228</v>
      </c>
      <c r="E63" s="68" t="str">
        <f>VLOOKUP(B63,'MEMÓRIA DE CÁLCULO'!B:H,3,)</f>
        <v>CALHA EM CHAPA DE AÇO GALVANIZADO NÚMERO 24, DESENVOLVIMENTO DE 50 CM, INCLUSO TRANSPORTE VERTICAL.</v>
      </c>
      <c r="F63" s="131" t="str">
        <f>VLOOKUP(B63,'MEMÓRIA DE CÁLCULO'!$B:$H,4,)</f>
        <v>m</v>
      </c>
      <c r="G63" s="66">
        <f>VLOOKUP(B63,'MEMÓRIA DE CÁLCULO'!B:H,7,)</f>
        <v>180.74</v>
      </c>
      <c r="H63" s="72"/>
      <c r="I63" s="72"/>
      <c r="J63" s="78"/>
      <c r="K63" s="117"/>
    </row>
    <row r="64" spans="2:11" x14ac:dyDescent="0.25">
      <c r="B64" s="121" t="s">
        <v>239</v>
      </c>
      <c r="C64" s="65"/>
      <c r="D64" s="65" t="str">
        <f>VLOOKUP(B64,'MEMÓRIA DE CÁLCULO'!B:H,2,)</f>
        <v>SINAPI 101979</v>
      </c>
      <c r="E64" s="68" t="str">
        <f>VLOOKUP(B64,'MEMÓRIA DE CÁLCULO'!B:H,3,)</f>
        <v>CHAPIM (RUFO CAPA) EM AÇO GALVANIZADO, CORTE 33</v>
      </c>
      <c r="F64" s="131" t="str">
        <f>VLOOKUP(B64,'MEMÓRIA DE CÁLCULO'!$B:$H,4,)</f>
        <v>m</v>
      </c>
      <c r="G64" s="66">
        <f>VLOOKUP(B64,'MEMÓRIA DE CÁLCULO'!B:H,7,)</f>
        <v>208.17000000000002</v>
      </c>
      <c r="H64" s="72"/>
      <c r="I64" s="72"/>
      <c r="J64" s="78"/>
      <c r="K64" s="117"/>
    </row>
    <row r="65" spans="2:12" x14ac:dyDescent="0.25">
      <c r="B65" s="121"/>
      <c r="C65" s="65"/>
      <c r="D65" s="65"/>
      <c r="E65" s="68"/>
      <c r="F65" s="131"/>
      <c r="G65" s="66"/>
      <c r="H65" s="72"/>
      <c r="I65" s="72"/>
      <c r="J65" s="78"/>
      <c r="K65" s="117"/>
    </row>
    <row r="66" spans="2:12" s="182" customFormat="1" ht="15" x14ac:dyDescent="0.25">
      <c r="B66" s="366" t="s">
        <v>178</v>
      </c>
      <c r="C66" s="367"/>
      <c r="D66" s="367"/>
      <c r="E66" s="367"/>
      <c r="F66" s="367"/>
      <c r="G66" s="367"/>
      <c r="H66" s="367"/>
      <c r="I66" s="368"/>
      <c r="J66" s="186">
        <f>SUM(J68:J70)</f>
        <v>0</v>
      </c>
      <c r="K66" s="117"/>
    </row>
    <row r="67" spans="2:12" s="187" customFormat="1" ht="15" x14ac:dyDescent="0.25">
      <c r="B67" s="14">
        <v>10</v>
      </c>
      <c r="C67" s="362" t="s">
        <v>106</v>
      </c>
      <c r="D67" s="362"/>
      <c r="E67" s="362"/>
      <c r="F67" s="362"/>
      <c r="G67" s="362"/>
      <c r="H67" s="362"/>
      <c r="I67" s="362"/>
      <c r="J67" s="363"/>
      <c r="K67" s="117"/>
    </row>
    <row r="68" spans="2:12" s="187" customFormat="1" ht="15" x14ac:dyDescent="0.25">
      <c r="B68" s="188" t="s">
        <v>220</v>
      </c>
      <c r="C68" s="189" t="s">
        <v>81</v>
      </c>
      <c r="D68" s="122">
        <f>VLOOKUP(B68,'MEMÓRIA DE CÁLCULO'!B:H,2,)</f>
        <v>200101</v>
      </c>
      <c r="E68" s="123" t="str">
        <f>VLOOKUP(B68,'MEMÓRIA DE CÁLCULO'!B:H,3,)</f>
        <v>CHAPISCO COMUM - FACE INTERNA E EXTERNA</v>
      </c>
      <c r="F68" s="131" t="str">
        <f>VLOOKUP(B68,'MEMÓRIA DE CÁLCULO'!$B:$H,4,)</f>
        <v>m²</v>
      </c>
      <c r="G68" s="124">
        <f>VLOOKUP(B68,'MEMÓRIA DE CÁLCULO'!B:H,7,)</f>
        <v>199.07400000000001</v>
      </c>
      <c r="H68" s="190"/>
      <c r="I68" s="190"/>
      <c r="J68" s="191"/>
      <c r="K68" s="117"/>
      <c r="L68" s="192"/>
    </row>
    <row r="69" spans="2:12" s="187" customFormat="1" ht="15" x14ac:dyDescent="0.25">
      <c r="B69" s="193" t="s">
        <v>221</v>
      </c>
      <c r="C69" s="194" t="s">
        <v>81</v>
      </c>
      <c r="D69" s="122">
        <f>VLOOKUP(B69,'MEMÓRIA DE CÁLCULO'!B:H,2,)</f>
        <v>200403</v>
      </c>
      <c r="E69" s="123" t="str">
        <f>VLOOKUP(B69,'MEMÓRIA DE CÁLCULO'!B:H,3,)</f>
        <v>REBOCO (1 CALH:4 ARFC+100kgCI/M3) - FACE INTERNA E EXTERNA</v>
      </c>
      <c r="F69" s="131" t="str">
        <f>VLOOKUP(B69,'MEMÓRIA DE CÁLCULO'!$B:$H,4,)</f>
        <v>m²</v>
      </c>
      <c r="G69" s="124">
        <f>VLOOKUP(B69,'MEMÓRIA DE CÁLCULO'!B:H,7,)</f>
        <v>199.07400000000001</v>
      </c>
      <c r="H69" s="195"/>
      <c r="I69" s="195"/>
      <c r="J69" s="196"/>
      <c r="K69" s="117"/>
      <c r="L69" s="192"/>
    </row>
    <row r="70" spans="2:12" s="187" customFormat="1" ht="15" x14ac:dyDescent="0.25">
      <c r="B70" s="193" t="s">
        <v>240</v>
      </c>
      <c r="C70" s="194" t="s">
        <v>81</v>
      </c>
      <c r="D70" s="122">
        <f>VLOOKUP(B70,'MEMÓRIA DE CÁLCULO'!B:H,2,)</f>
        <v>200201</v>
      </c>
      <c r="E70" s="123" t="str">
        <f>VLOOKUP(B70,'MEMÓRIA DE CÁLCULO'!B:H,3,)</f>
        <v>EMBOÇO (1CI:4 ARML) - FACE INTERNA E EXTERNA</v>
      </c>
      <c r="F70" s="131" t="str">
        <f>VLOOKUP(B70,'MEMÓRIA DE CÁLCULO'!$B:$H,4,)</f>
        <v>m²</v>
      </c>
      <c r="G70" s="124">
        <f>VLOOKUP(B70,'MEMÓRIA DE CÁLCULO'!B:H,7,)</f>
        <v>199.07400000000001</v>
      </c>
      <c r="H70" s="195"/>
      <c r="I70" s="195"/>
      <c r="J70" s="196"/>
      <c r="K70" s="117"/>
      <c r="L70" s="192"/>
    </row>
    <row r="71" spans="2:12" s="187" customFormat="1" ht="15" x14ac:dyDescent="0.25">
      <c r="B71" s="197"/>
      <c r="C71" s="198"/>
      <c r="D71" s="198"/>
      <c r="E71" s="199"/>
      <c r="F71" s="200"/>
      <c r="G71" s="200"/>
      <c r="H71" s="201"/>
      <c r="I71" s="201"/>
      <c r="J71" s="202"/>
      <c r="K71" s="117"/>
      <c r="L71" s="192"/>
    </row>
    <row r="72" spans="2:12" s="187" customFormat="1" ht="15" x14ac:dyDescent="0.25">
      <c r="B72" s="366" t="s">
        <v>247</v>
      </c>
      <c r="C72" s="367"/>
      <c r="D72" s="367"/>
      <c r="E72" s="367"/>
      <c r="F72" s="367"/>
      <c r="G72" s="367"/>
      <c r="H72" s="367"/>
      <c r="I72" s="368"/>
      <c r="J72" s="186">
        <f>SUM(J74)</f>
        <v>0</v>
      </c>
      <c r="K72" s="117"/>
      <c r="L72" s="192"/>
    </row>
    <row r="73" spans="2:12" s="187" customFormat="1" ht="15" x14ac:dyDescent="0.25">
      <c r="B73" s="14">
        <v>11</v>
      </c>
      <c r="C73" s="362" t="s">
        <v>246</v>
      </c>
      <c r="D73" s="362"/>
      <c r="E73" s="362"/>
      <c r="F73" s="362"/>
      <c r="G73" s="362"/>
      <c r="H73" s="362"/>
      <c r="I73" s="362"/>
      <c r="J73" s="363"/>
      <c r="K73" s="117"/>
      <c r="L73" s="192"/>
    </row>
    <row r="74" spans="2:12" s="187" customFormat="1" ht="15" x14ac:dyDescent="0.25">
      <c r="B74" s="188" t="s">
        <v>224</v>
      </c>
      <c r="C74" s="189" t="s">
        <v>81</v>
      </c>
      <c r="D74" s="122">
        <f>VLOOKUP(B74,'MEMÓRIA DE CÁLCULO'!B:H,2,)</f>
        <v>210460</v>
      </c>
      <c r="E74" s="123" t="str">
        <f>VLOOKUP(B74,'MEMÓRIA DE CÁLCULO'!B:H,3,)</f>
        <v>FORRO DE PVC COM ESTRUTURA EM METALON PINTADA COM TINTA ALQUÍDICA D.F</v>
      </c>
      <c r="F74" s="131" t="str">
        <f>VLOOKUP(B74,'MEMÓRIA DE CÁLCULO'!$B:$H,4,)</f>
        <v>m²</v>
      </c>
      <c r="G74" s="124">
        <f>VLOOKUP(B74,'MEMÓRIA DE CÁLCULO'!B:H,7,)</f>
        <v>506.69460000000004</v>
      </c>
      <c r="H74" s="190"/>
      <c r="I74" s="190"/>
      <c r="J74" s="191"/>
      <c r="K74" s="117"/>
      <c r="L74" s="192"/>
    </row>
    <row r="75" spans="2:12" s="187" customFormat="1" ht="15" x14ac:dyDescent="0.25">
      <c r="B75" s="197"/>
      <c r="C75" s="198"/>
      <c r="D75" s="233"/>
      <c r="E75" s="199"/>
      <c r="F75" s="235"/>
      <c r="G75" s="228"/>
      <c r="H75" s="201"/>
      <c r="I75" s="201"/>
      <c r="J75" s="202"/>
      <c r="K75" s="117"/>
      <c r="L75" s="192"/>
    </row>
    <row r="76" spans="2:12" ht="15" x14ac:dyDescent="0.25">
      <c r="B76" s="366" t="s">
        <v>90</v>
      </c>
      <c r="C76" s="367"/>
      <c r="D76" s="367"/>
      <c r="E76" s="367"/>
      <c r="F76" s="367"/>
      <c r="G76" s="367"/>
      <c r="H76" s="367"/>
      <c r="I76" s="367"/>
      <c r="J76" s="45">
        <f>SUM(J78:J79)</f>
        <v>0</v>
      </c>
      <c r="K76" s="117"/>
      <c r="L76" s="27"/>
    </row>
    <row r="77" spans="2:12" ht="15" x14ac:dyDescent="0.25">
      <c r="B77" s="14">
        <v>12</v>
      </c>
      <c r="C77" s="378" t="s">
        <v>62</v>
      </c>
      <c r="D77" s="379"/>
      <c r="E77" s="379"/>
      <c r="F77" s="379"/>
      <c r="G77" s="379"/>
      <c r="H77" s="379"/>
      <c r="I77" s="379"/>
      <c r="J77" s="380"/>
      <c r="K77" s="117"/>
    </row>
    <row r="78" spans="2:12" x14ac:dyDescent="0.25">
      <c r="B78" s="121" t="s">
        <v>243</v>
      </c>
      <c r="C78" s="122" t="s">
        <v>81</v>
      </c>
      <c r="D78" s="122">
        <f>VLOOKUP(B78,'MEMÓRIA DE CÁLCULO'!B:H,2,)</f>
        <v>250101</v>
      </c>
      <c r="E78" s="137" t="str">
        <f>VLOOKUP(B78,'MEMÓRIA DE CÁLCULO'!B:H,3,)</f>
        <v>ENGENHEIRO - OBRAS CIVIS</v>
      </c>
      <c r="F78" s="122" t="s">
        <v>64</v>
      </c>
      <c r="G78" s="124">
        <f>VLOOKUP(B78,'MEMÓRIA DE CÁLCULO'!B:H,7,)</f>
        <v>88</v>
      </c>
      <c r="H78" s="138"/>
      <c r="I78" s="138"/>
      <c r="J78" s="139"/>
      <c r="K78" s="117"/>
    </row>
    <row r="79" spans="2:12" x14ac:dyDescent="0.25">
      <c r="B79" s="75" t="s">
        <v>244</v>
      </c>
      <c r="C79" s="65" t="s">
        <v>81</v>
      </c>
      <c r="D79" s="65">
        <f>VLOOKUP(B79,'MEMÓRIA DE CÁLCULO'!B:H,2,)</f>
        <v>250103</v>
      </c>
      <c r="E79" s="74" t="str">
        <f>VLOOKUP(B79,'MEMÓRIA DE CÁLCULO'!B:H,3,)</f>
        <v>ENCARREGADO - (OBRAS CIVIS)</v>
      </c>
      <c r="F79" s="65" t="s">
        <v>64</v>
      </c>
      <c r="G79" s="66">
        <f>VLOOKUP(B79,'MEMÓRIA DE CÁLCULO'!B:H,7,)</f>
        <v>352</v>
      </c>
      <c r="H79" s="71"/>
      <c r="I79" s="71"/>
      <c r="J79" s="79"/>
      <c r="K79" s="117"/>
    </row>
    <row r="80" spans="2:12" x14ac:dyDescent="0.25">
      <c r="B80" s="372"/>
      <c r="C80" s="373"/>
      <c r="D80" s="373"/>
      <c r="E80" s="373"/>
      <c r="F80" s="373"/>
      <c r="G80" s="373"/>
      <c r="H80" s="373"/>
      <c r="I80" s="373"/>
      <c r="J80" s="374"/>
      <c r="K80" s="117"/>
    </row>
    <row r="81" spans="2:11" ht="15" x14ac:dyDescent="0.25">
      <c r="B81" s="366" t="s">
        <v>248</v>
      </c>
      <c r="C81" s="367"/>
      <c r="D81" s="367"/>
      <c r="E81" s="367"/>
      <c r="F81" s="367"/>
      <c r="G81" s="367"/>
      <c r="H81" s="367"/>
      <c r="I81" s="367"/>
      <c r="J81" s="45">
        <f>SUM(J83:J84)</f>
        <v>0</v>
      </c>
    </row>
    <row r="82" spans="2:11" ht="15" x14ac:dyDescent="0.25">
      <c r="B82" s="14">
        <v>13</v>
      </c>
      <c r="C82" s="378" t="s">
        <v>223</v>
      </c>
      <c r="D82" s="379"/>
      <c r="E82" s="379"/>
      <c r="F82" s="379"/>
      <c r="G82" s="379"/>
      <c r="H82" s="379"/>
      <c r="I82" s="379"/>
      <c r="J82" s="380"/>
      <c r="K82" s="211"/>
    </row>
    <row r="83" spans="2:11" x14ac:dyDescent="0.25">
      <c r="B83" s="121" t="s">
        <v>245</v>
      </c>
      <c r="C83" s="122" t="s">
        <v>81</v>
      </c>
      <c r="D83" s="122">
        <f>VLOOKUP(B83,'MEMÓRIA DE CÁLCULO'!B:H,2,)</f>
        <v>270501</v>
      </c>
      <c r="E83" s="137" t="str">
        <f>VLOOKUP(B83,'MEMÓRIA DE CÁLCULO'!B:H,3,)</f>
        <v>LIMPEZA FINAL DE OBRA - (OBRAS CIVIS)</v>
      </c>
      <c r="F83" s="122" t="s">
        <v>14</v>
      </c>
      <c r="G83" s="124">
        <f>VLOOKUP(B83,'MEMÓRIA DE CÁLCULO'!B:H,7,)</f>
        <v>2305.6</v>
      </c>
      <c r="H83" s="138"/>
      <c r="I83" s="138"/>
      <c r="J83" s="139"/>
      <c r="K83" s="211"/>
    </row>
    <row r="84" spans="2:11" x14ac:dyDescent="0.25">
      <c r="B84" s="121" t="s">
        <v>267</v>
      </c>
      <c r="C84" s="122" t="s">
        <v>81</v>
      </c>
      <c r="D84" s="122">
        <f>VLOOKUP(B84,'MEMÓRIA DE CÁLCULO'!B:H,2,)</f>
        <v>270810</v>
      </c>
      <c r="E84" s="137" t="str">
        <f>VLOOKUP(B84,'MEMÓRIA DE CÁLCULO'!B:H,3,)</f>
        <v>PLACA DE INAUGURACAO ACO ESCOVADO 80 X 60 CM</v>
      </c>
      <c r="F84" s="122" t="s">
        <v>195</v>
      </c>
      <c r="G84" s="124">
        <f>VLOOKUP(B84,'MEMÓRIA DE CÁLCULO'!B:H,7,)</f>
        <v>1</v>
      </c>
      <c r="H84" s="138"/>
      <c r="I84" s="138"/>
      <c r="J84" s="139"/>
      <c r="K84" s="216"/>
    </row>
    <row r="85" spans="2:11" ht="20.25" customHeight="1" thickBot="1" x14ac:dyDescent="0.3">
      <c r="B85" s="405" t="s">
        <v>91</v>
      </c>
      <c r="C85" s="406"/>
      <c r="D85" s="406"/>
      <c r="E85" s="406"/>
      <c r="F85" s="406"/>
      <c r="G85" s="406"/>
      <c r="H85" s="406"/>
      <c r="I85" s="406"/>
      <c r="J85" s="407"/>
      <c r="K85" s="404"/>
    </row>
    <row r="86" spans="2:11" ht="15.75" x14ac:dyDescent="0.25">
      <c r="B86" s="96"/>
      <c r="C86" s="97"/>
      <c r="D86" s="98"/>
      <c r="E86" s="99"/>
      <c r="F86" s="229"/>
      <c r="G86" s="229"/>
      <c r="H86" s="230"/>
      <c r="I86" s="231" t="s">
        <v>92</v>
      </c>
      <c r="J86" s="232">
        <f>SUM(J81,J76,J72,J66,J58,J53,J49,J45,J35,J29,J25,J21,J11,)</f>
        <v>0</v>
      </c>
      <c r="K86" s="404"/>
    </row>
    <row r="87" spans="2:11" ht="15.75" x14ac:dyDescent="0.25">
      <c r="B87" s="3"/>
      <c r="C87" s="200"/>
      <c r="D87" s="223"/>
      <c r="E87" s="224"/>
      <c r="F87" s="225"/>
      <c r="G87" s="225"/>
      <c r="H87" s="23"/>
      <c r="I87" s="46" t="s">
        <v>93</v>
      </c>
      <c r="J87" s="47">
        <f>ROUNDUP((J86*0.2388),2)</f>
        <v>0</v>
      </c>
      <c r="K87" s="404"/>
    </row>
    <row r="88" spans="2:11" ht="16.5" thickBot="1" x14ac:dyDescent="0.3">
      <c r="B88" s="4"/>
      <c r="C88" s="2"/>
      <c r="D88" s="20"/>
      <c r="E88" s="1"/>
      <c r="F88" s="6"/>
      <c r="G88" s="6"/>
      <c r="H88" s="24"/>
      <c r="I88" s="48" t="s">
        <v>94</v>
      </c>
      <c r="J88" s="49">
        <f>J86+J87</f>
        <v>0</v>
      </c>
      <c r="K88" s="404"/>
    </row>
    <row r="89" spans="2:11" ht="15" x14ac:dyDescent="0.25">
      <c r="B89" s="3"/>
      <c r="C89" s="200"/>
      <c r="D89" s="223"/>
      <c r="E89" s="224"/>
      <c r="F89" s="225"/>
      <c r="G89" s="200"/>
      <c r="H89" s="226"/>
      <c r="I89" s="226"/>
      <c r="J89" s="227"/>
      <c r="K89" s="404"/>
    </row>
    <row r="90" spans="2:11" ht="32.25" customHeight="1" x14ac:dyDescent="0.25">
      <c r="B90" s="3"/>
      <c r="C90" s="233"/>
      <c r="D90" s="246"/>
      <c r="E90" s="246" t="s">
        <v>95</v>
      </c>
      <c r="F90" s="412" t="s">
        <v>69</v>
      </c>
      <c r="G90" s="412"/>
      <c r="H90" s="412"/>
      <c r="I90" s="412"/>
      <c r="J90" s="413"/>
      <c r="K90" s="404"/>
    </row>
    <row r="91" spans="2:11" ht="18" x14ac:dyDescent="0.25">
      <c r="B91" s="3"/>
      <c r="C91" s="200"/>
      <c r="D91" s="247"/>
      <c r="E91" s="248"/>
      <c r="F91" s="249"/>
      <c r="G91" s="410"/>
      <c r="H91" s="410"/>
      <c r="I91" s="410"/>
      <c r="J91" s="411"/>
      <c r="K91" s="404"/>
    </row>
    <row r="92" spans="2:11" ht="18" x14ac:dyDescent="0.25">
      <c r="B92" s="3"/>
      <c r="C92" s="250"/>
      <c r="D92" s="251"/>
      <c r="E92" s="252" t="s">
        <v>70</v>
      </c>
      <c r="F92" s="253"/>
      <c r="G92" s="408" t="s">
        <v>70</v>
      </c>
      <c r="H92" s="408"/>
      <c r="I92" s="408"/>
      <c r="J92" s="409"/>
      <c r="K92" s="404"/>
    </row>
    <row r="93" spans="2:11" ht="15" x14ac:dyDescent="0.25">
      <c r="B93" s="16"/>
      <c r="C93" s="250"/>
      <c r="D93" s="251"/>
      <c r="E93" s="254" t="s">
        <v>96</v>
      </c>
      <c r="F93" s="255"/>
      <c r="G93" s="400" t="s">
        <v>182</v>
      </c>
      <c r="H93" s="400"/>
      <c r="I93" s="400"/>
      <c r="J93" s="401"/>
    </row>
    <row r="94" spans="2:11" ht="23.25" customHeight="1" thickBot="1" x14ac:dyDescent="0.3">
      <c r="B94" s="100"/>
      <c r="C94" s="101"/>
      <c r="D94" s="102"/>
      <c r="E94" s="210" t="s">
        <v>97</v>
      </c>
      <c r="F94" s="103"/>
      <c r="G94" s="402" t="s">
        <v>172</v>
      </c>
      <c r="H94" s="402"/>
      <c r="I94" s="402"/>
      <c r="J94" s="403"/>
    </row>
    <row r="95" spans="2:11" x14ac:dyDescent="0.25">
      <c r="D95" s="22"/>
      <c r="H95" s="25"/>
      <c r="I95" s="25"/>
      <c r="J95" s="18"/>
    </row>
    <row r="96" spans="2:11" x14ac:dyDescent="0.25">
      <c r="D96" s="22"/>
    </row>
    <row r="97" spans="4:5" x14ac:dyDescent="0.25">
      <c r="D97" s="22"/>
    </row>
    <row r="98" spans="4:5" x14ac:dyDescent="0.25">
      <c r="D98" s="22"/>
      <c r="E98" s="15"/>
    </row>
  </sheetData>
  <sheetProtection sheet="1" objects="1" scenarios="1"/>
  <mergeCells count="44">
    <mergeCell ref="C59:J59"/>
    <mergeCell ref="C54:J54"/>
    <mergeCell ref="B58:I58"/>
    <mergeCell ref="B53:I53"/>
    <mergeCell ref="B45:I45"/>
    <mergeCell ref="C46:J46"/>
    <mergeCell ref="K85:K92"/>
    <mergeCell ref="B85:J85"/>
    <mergeCell ref="G92:J92"/>
    <mergeCell ref="G91:J91"/>
    <mergeCell ref="F90:J90"/>
    <mergeCell ref="B66:I66"/>
    <mergeCell ref="C67:J67"/>
    <mergeCell ref="B76:I76"/>
    <mergeCell ref="G93:J93"/>
    <mergeCell ref="G94:J94"/>
    <mergeCell ref="B80:J80"/>
    <mergeCell ref="C77:J77"/>
    <mergeCell ref="B72:I72"/>
    <mergeCell ref="C73:J73"/>
    <mergeCell ref="B81:I81"/>
    <mergeCell ref="C82:J82"/>
    <mergeCell ref="K1:K6"/>
    <mergeCell ref="B3:J3"/>
    <mergeCell ref="B4:J4"/>
    <mergeCell ref="B5:J5"/>
    <mergeCell ref="B6:J6"/>
    <mergeCell ref="B2:J2"/>
    <mergeCell ref="B7:J7"/>
    <mergeCell ref="B24:J24"/>
    <mergeCell ref="B9:J9"/>
    <mergeCell ref="C12:J12"/>
    <mergeCell ref="C22:J22"/>
    <mergeCell ref="B11:I11"/>
    <mergeCell ref="B21:I21"/>
    <mergeCell ref="E8:H8"/>
    <mergeCell ref="B25:I25"/>
    <mergeCell ref="C26:J26"/>
    <mergeCell ref="B49:I49"/>
    <mergeCell ref="C50:J50"/>
    <mergeCell ref="B29:I29"/>
    <mergeCell ref="C30:J30"/>
    <mergeCell ref="B35:I35"/>
    <mergeCell ref="C36:J36"/>
  </mergeCells>
  <phoneticPr fontId="7" type="noConversion"/>
  <printOptions horizontalCentered="1"/>
  <pageMargins left="0.23622047244094491" right="0.23622047244094491" top="0.27559055118110237" bottom="0.74803149606299213" header="0.31496062992125984" footer="0.31496062992125984"/>
  <pageSetup paperSize="9" scale="60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8A9A-3259-48E8-BA26-F22DE1B45450}">
  <sheetPr>
    <pageSetUpPr fitToPage="1"/>
  </sheetPr>
  <dimension ref="B1:K30"/>
  <sheetViews>
    <sheetView topLeftCell="A13" zoomScale="85" zoomScaleNormal="85" zoomScaleSheetLayoutView="90" workbookViewId="0">
      <selection activeCell="G28" sqref="G28"/>
    </sheetView>
  </sheetViews>
  <sheetFormatPr defaultRowHeight="15" x14ac:dyDescent="0.25"/>
  <cols>
    <col min="2" max="2" width="3" style="5" customWidth="1"/>
    <col min="3" max="3" width="49.85546875" bestFit="1" customWidth="1"/>
    <col min="4" max="4" width="15.85546875" style="9" bestFit="1" customWidth="1"/>
    <col min="5" max="5" width="10" style="5" customWidth="1"/>
    <col min="6" max="6" width="20.28515625" style="5" customWidth="1"/>
    <col min="7" max="9" width="18.85546875" style="5" customWidth="1"/>
    <col min="10" max="10" width="9.85546875" style="5" customWidth="1"/>
  </cols>
  <sheetData>
    <row r="1" spans="2:10" x14ac:dyDescent="0.25">
      <c r="B1" s="38"/>
      <c r="C1" s="416" t="s">
        <v>98</v>
      </c>
      <c r="D1" s="416"/>
      <c r="E1" s="416"/>
      <c r="F1" s="416"/>
      <c r="G1" s="416"/>
      <c r="H1" s="212"/>
      <c r="I1" s="212"/>
      <c r="J1" s="39">
        <v>23.88</v>
      </c>
    </row>
    <row r="2" spans="2:10" x14ac:dyDescent="0.25">
      <c r="B2" s="40"/>
      <c r="C2" s="422" t="s">
        <v>1</v>
      </c>
      <c r="D2" s="422"/>
      <c r="E2" s="422"/>
      <c r="F2" s="422"/>
      <c r="G2" s="422"/>
      <c r="H2" s="213"/>
      <c r="I2" s="213"/>
      <c r="J2" s="41"/>
    </row>
    <row r="3" spans="2:10" ht="15" customHeight="1" x14ac:dyDescent="0.25">
      <c r="B3" s="40"/>
      <c r="C3" s="423" t="s">
        <v>99</v>
      </c>
      <c r="D3" s="423"/>
      <c r="E3" s="423"/>
      <c r="F3" s="423"/>
      <c r="G3" s="423"/>
      <c r="H3" s="214"/>
      <c r="I3" s="214"/>
      <c r="J3" s="41"/>
    </row>
    <row r="4" spans="2:10" x14ac:dyDescent="0.25">
      <c r="B4" s="40"/>
      <c r="C4" s="422" t="s">
        <v>72</v>
      </c>
      <c r="D4" s="422"/>
      <c r="E4" s="422"/>
      <c r="F4" s="422"/>
      <c r="G4" s="422"/>
      <c r="H4" s="213"/>
      <c r="I4" s="213"/>
      <c r="J4" s="41"/>
    </row>
    <row r="5" spans="2:10" ht="35.25" customHeight="1" x14ac:dyDescent="0.25">
      <c r="B5" s="419" t="s">
        <v>100</v>
      </c>
      <c r="C5" s="420"/>
      <c r="D5" s="420"/>
      <c r="E5" s="420"/>
      <c r="F5" s="420"/>
      <c r="G5" s="420"/>
      <c r="H5" s="420"/>
      <c r="I5" s="420"/>
      <c r="J5" s="421"/>
    </row>
    <row r="6" spans="2:10" ht="19.5" customHeight="1" x14ac:dyDescent="0.25">
      <c r="B6" s="140"/>
      <c r="C6" s="141"/>
      <c r="D6" s="141"/>
      <c r="E6" s="141"/>
      <c r="F6" s="424" t="s">
        <v>101</v>
      </c>
      <c r="G6" s="425"/>
      <c r="H6" s="215"/>
      <c r="I6" s="215"/>
      <c r="J6" s="142"/>
    </row>
    <row r="7" spans="2:10" ht="37.5" customHeight="1" x14ac:dyDescent="0.25">
      <c r="B7" s="417" t="s">
        <v>102</v>
      </c>
      <c r="C7" s="418"/>
      <c r="D7" s="143" t="s">
        <v>103</v>
      </c>
      <c r="E7" s="143" t="s">
        <v>104</v>
      </c>
      <c r="F7" s="127">
        <v>1</v>
      </c>
      <c r="G7" s="127">
        <v>2</v>
      </c>
      <c r="H7" s="269">
        <v>3</v>
      </c>
      <c r="I7" s="269">
        <v>4</v>
      </c>
      <c r="J7" s="144" t="s">
        <v>11</v>
      </c>
    </row>
    <row r="8" spans="2:10" x14ac:dyDescent="0.25">
      <c r="B8" s="42">
        <v>1</v>
      </c>
      <c r="C8" s="28" t="s">
        <v>10</v>
      </c>
      <c r="D8" s="29">
        <f>'ORÇAMENTO '!J11</f>
        <v>0</v>
      </c>
      <c r="E8" s="30" t="e">
        <f t="shared" ref="E8:E20" si="0">D8/$D$21</f>
        <v>#DIV/0!</v>
      </c>
      <c r="F8" s="30">
        <v>0.25</v>
      </c>
      <c r="G8" s="30">
        <v>0.25</v>
      </c>
      <c r="H8" s="270">
        <v>0.25</v>
      </c>
      <c r="I8" s="270">
        <v>0.25</v>
      </c>
      <c r="J8" s="43">
        <f>SUM(F8:I8)</f>
        <v>1</v>
      </c>
    </row>
    <row r="9" spans="2:10" x14ac:dyDescent="0.25">
      <c r="B9" s="42">
        <v>2</v>
      </c>
      <c r="C9" s="28" t="s">
        <v>40</v>
      </c>
      <c r="D9" s="29">
        <f>'ORÇAMENTO '!J21</f>
        <v>0</v>
      </c>
      <c r="E9" s="30" t="e">
        <f t="shared" si="0"/>
        <v>#DIV/0!</v>
      </c>
      <c r="F9" s="30">
        <v>0.25</v>
      </c>
      <c r="G9" s="30">
        <v>0.25</v>
      </c>
      <c r="H9" s="270">
        <v>0.25</v>
      </c>
      <c r="I9" s="270">
        <v>0.25</v>
      </c>
      <c r="J9" s="43">
        <f>SUM(F9:I9)</f>
        <v>1</v>
      </c>
    </row>
    <row r="10" spans="2:10" x14ac:dyDescent="0.25">
      <c r="B10" s="42">
        <v>3</v>
      </c>
      <c r="C10" s="28" t="s">
        <v>207</v>
      </c>
      <c r="D10" s="29">
        <f>'ORÇAMENTO '!J25</f>
        <v>0</v>
      </c>
      <c r="E10" s="30" t="e">
        <f t="shared" si="0"/>
        <v>#DIV/0!</v>
      </c>
      <c r="F10" s="30">
        <v>1</v>
      </c>
      <c r="G10" s="30"/>
      <c r="H10" s="270"/>
      <c r="I10" s="270"/>
      <c r="J10" s="43">
        <f t="shared" ref="J10:J14" si="1">SUM(F10:G10)</f>
        <v>1</v>
      </c>
    </row>
    <row r="11" spans="2:10" x14ac:dyDescent="0.25">
      <c r="B11" s="42">
        <v>4</v>
      </c>
      <c r="C11" s="28" t="s">
        <v>254</v>
      </c>
      <c r="D11" s="29">
        <f>'ORÇAMENTO '!J29</f>
        <v>0</v>
      </c>
      <c r="E11" s="30" t="e">
        <f t="shared" si="0"/>
        <v>#DIV/0!</v>
      </c>
      <c r="F11" s="30"/>
      <c r="G11" s="30"/>
      <c r="H11" s="270">
        <v>0.5</v>
      </c>
      <c r="I11" s="270">
        <v>0.5</v>
      </c>
      <c r="J11" s="43">
        <f>SUM(F11:I11)</f>
        <v>1</v>
      </c>
    </row>
    <row r="12" spans="2:10" x14ac:dyDescent="0.25">
      <c r="B12" s="42">
        <v>5</v>
      </c>
      <c r="C12" s="28" t="s">
        <v>105</v>
      </c>
      <c r="D12" s="29">
        <f>'ORÇAMENTO '!J35</f>
        <v>0</v>
      </c>
      <c r="E12" s="30" t="e">
        <f t="shared" si="0"/>
        <v>#DIV/0!</v>
      </c>
      <c r="F12" s="30"/>
      <c r="G12" s="30">
        <v>0.5</v>
      </c>
      <c r="H12" s="270">
        <v>0.25</v>
      </c>
      <c r="I12" s="270">
        <v>0.25</v>
      </c>
      <c r="J12" s="43">
        <f>SUM(F12:I12)</f>
        <v>1</v>
      </c>
    </row>
    <row r="13" spans="2:10" x14ac:dyDescent="0.25">
      <c r="B13" s="42">
        <v>6</v>
      </c>
      <c r="C13" s="28" t="s">
        <v>85</v>
      </c>
      <c r="D13" s="29">
        <f>'ORÇAMENTO '!J45</f>
        <v>0</v>
      </c>
      <c r="E13" s="30" t="e">
        <f t="shared" si="0"/>
        <v>#DIV/0!</v>
      </c>
      <c r="F13" s="30">
        <v>0.25</v>
      </c>
      <c r="G13" s="30">
        <v>0.25</v>
      </c>
      <c r="H13" s="270">
        <v>0.25</v>
      </c>
      <c r="I13" s="270">
        <v>0.25</v>
      </c>
      <c r="J13" s="43">
        <f>SUM(F13:I13)</f>
        <v>1</v>
      </c>
    </row>
    <row r="14" spans="2:10" x14ac:dyDescent="0.25">
      <c r="B14" s="42">
        <v>7</v>
      </c>
      <c r="C14" s="28" t="s">
        <v>213</v>
      </c>
      <c r="D14" s="29">
        <f>'ORÇAMENTO '!J49</f>
        <v>0</v>
      </c>
      <c r="E14" s="30" t="e">
        <f t="shared" si="0"/>
        <v>#DIV/0!</v>
      </c>
      <c r="F14" s="30">
        <v>1</v>
      </c>
      <c r="G14" s="30"/>
      <c r="H14" s="270"/>
      <c r="I14" s="270"/>
      <c r="J14" s="43">
        <f t="shared" si="1"/>
        <v>1</v>
      </c>
    </row>
    <row r="15" spans="2:10" x14ac:dyDescent="0.25">
      <c r="B15" s="42">
        <v>8</v>
      </c>
      <c r="C15" s="28" t="s">
        <v>87</v>
      </c>
      <c r="D15" s="29">
        <f>'ORÇAMENTO '!J53</f>
        <v>0</v>
      </c>
      <c r="E15" s="30" t="e">
        <f t="shared" si="0"/>
        <v>#DIV/0!</v>
      </c>
      <c r="F15" s="30">
        <v>0.25</v>
      </c>
      <c r="G15" s="30">
        <v>0.25</v>
      </c>
      <c r="H15" s="270">
        <v>0.25</v>
      </c>
      <c r="I15" s="270">
        <v>0.25</v>
      </c>
      <c r="J15" s="43">
        <f t="shared" ref="J15:J20" si="2">SUM(F15:I15)</f>
        <v>1</v>
      </c>
    </row>
    <row r="16" spans="2:10" x14ac:dyDescent="0.25">
      <c r="B16" s="42">
        <v>9</v>
      </c>
      <c r="C16" s="28" t="s">
        <v>55</v>
      </c>
      <c r="D16" s="29">
        <f>'ORÇAMENTO '!J58</f>
        <v>0</v>
      </c>
      <c r="E16" s="30" t="e">
        <f t="shared" si="0"/>
        <v>#DIV/0!</v>
      </c>
      <c r="F16" s="30">
        <v>0.25</v>
      </c>
      <c r="G16" s="30">
        <v>0.25</v>
      </c>
      <c r="H16" s="270">
        <v>0.25</v>
      </c>
      <c r="I16" s="270">
        <v>0.25</v>
      </c>
      <c r="J16" s="43">
        <f t="shared" si="2"/>
        <v>1</v>
      </c>
    </row>
    <row r="17" spans="2:11" x14ac:dyDescent="0.25">
      <c r="B17" s="42">
        <v>10</v>
      </c>
      <c r="C17" s="28" t="s">
        <v>106</v>
      </c>
      <c r="D17" s="29">
        <f>'ORÇAMENTO '!J66</f>
        <v>0</v>
      </c>
      <c r="E17" s="30" t="e">
        <f t="shared" si="0"/>
        <v>#DIV/0!</v>
      </c>
      <c r="F17" s="30">
        <v>0.25</v>
      </c>
      <c r="G17" s="30">
        <v>0.25</v>
      </c>
      <c r="H17" s="270">
        <v>0.25</v>
      </c>
      <c r="I17" s="270">
        <v>0.25</v>
      </c>
      <c r="J17" s="43">
        <f t="shared" si="2"/>
        <v>1</v>
      </c>
    </row>
    <row r="18" spans="2:11" x14ac:dyDescent="0.25">
      <c r="B18" s="42">
        <v>11</v>
      </c>
      <c r="C18" s="28" t="s">
        <v>242</v>
      </c>
      <c r="D18" s="29">
        <f>'ORÇAMENTO '!J72</f>
        <v>0</v>
      </c>
      <c r="E18" s="30" t="e">
        <f t="shared" si="0"/>
        <v>#DIV/0!</v>
      </c>
      <c r="F18" s="30"/>
      <c r="G18" s="30"/>
      <c r="H18" s="270">
        <v>0.5</v>
      </c>
      <c r="I18" s="270">
        <v>0.5</v>
      </c>
      <c r="J18" s="43">
        <f t="shared" si="2"/>
        <v>1</v>
      </c>
    </row>
    <row r="19" spans="2:11" x14ac:dyDescent="0.25">
      <c r="B19" s="42">
        <v>12</v>
      </c>
      <c r="C19" s="28" t="s">
        <v>107</v>
      </c>
      <c r="D19" s="29">
        <f>'ORÇAMENTO '!J76</f>
        <v>0</v>
      </c>
      <c r="E19" s="30" t="e">
        <f t="shared" si="0"/>
        <v>#DIV/0!</v>
      </c>
      <c r="F19" s="30">
        <v>0.219</v>
      </c>
      <c r="G19" s="30">
        <v>0.2422</v>
      </c>
      <c r="H19" s="270">
        <v>0.28129999999999999</v>
      </c>
      <c r="I19" s="270">
        <v>0.25750000000000001</v>
      </c>
      <c r="J19" s="43">
        <f t="shared" si="2"/>
        <v>1</v>
      </c>
    </row>
    <row r="20" spans="2:11" x14ac:dyDescent="0.25">
      <c r="B20" s="42">
        <v>13</v>
      </c>
      <c r="C20" s="28" t="s">
        <v>223</v>
      </c>
      <c r="D20" s="29">
        <f>'ORÇAMENTO '!J81</f>
        <v>0</v>
      </c>
      <c r="E20" s="30" t="e">
        <f t="shared" si="0"/>
        <v>#DIV/0!</v>
      </c>
      <c r="F20" s="164"/>
      <c r="G20" s="30"/>
      <c r="H20" s="270"/>
      <c r="I20" s="270">
        <v>1</v>
      </c>
      <c r="J20" s="43">
        <f t="shared" si="2"/>
        <v>1</v>
      </c>
      <c r="K20" s="208"/>
    </row>
    <row r="21" spans="2:11" x14ac:dyDescent="0.25">
      <c r="B21" s="429" t="s">
        <v>108</v>
      </c>
      <c r="C21" s="430"/>
      <c r="D21" s="31">
        <f>SUM(D8:D20)</f>
        <v>0</v>
      </c>
      <c r="E21" s="32" t="e">
        <f>SUM(E8:E20)</f>
        <v>#DIV/0!</v>
      </c>
      <c r="F21" s="33" cm="1">
        <f t="array" ref="F21">SUM(F8:F20*$D$8:$D$20)</f>
        <v>0</v>
      </c>
      <c r="G21" s="33" cm="1">
        <f t="array" ref="G21">SUM(G8:G20*$D$8:$D$20)</f>
        <v>0</v>
      </c>
      <c r="H21" s="33" cm="1">
        <f t="array" ref="H21">SUM(H8:H20*$D$8:$D$20)</f>
        <v>0</v>
      </c>
      <c r="I21" s="33" cm="1">
        <f t="array" ref="I21">SUM(I8:I20*$D$8:$D$20)</f>
        <v>0</v>
      </c>
      <c r="J21" s="426"/>
    </row>
    <row r="22" spans="2:11" x14ac:dyDescent="0.25">
      <c r="B22" s="429" t="s">
        <v>109</v>
      </c>
      <c r="C22" s="430" t="s">
        <v>109</v>
      </c>
      <c r="D22" s="34">
        <f>D21*(1+$J$1/100)+0.01</f>
        <v>0.01</v>
      </c>
      <c r="E22" s="35"/>
      <c r="F22" s="35">
        <f>F21*(1+$J$1/100)</f>
        <v>0</v>
      </c>
      <c r="G22" s="35">
        <f>G21*(1+$J$1/100)</f>
        <v>0</v>
      </c>
      <c r="H22" s="35">
        <f>H21*(1+$J$1/100)</f>
        <v>0</v>
      </c>
      <c r="I22" s="35">
        <f>I21*(1+$J$1/100)</f>
        <v>0</v>
      </c>
      <c r="J22" s="427"/>
    </row>
    <row r="23" spans="2:11" x14ac:dyDescent="0.25">
      <c r="B23" s="429" t="s">
        <v>110</v>
      </c>
      <c r="C23" s="431"/>
      <c r="D23" s="431"/>
      <c r="E23" s="430"/>
      <c r="F23" s="30">
        <f>F22/$D$22</f>
        <v>0</v>
      </c>
      <c r="G23" s="30">
        <f>G22/$D$22</f>
        <v>0</v>
      </c>
      <c r="H23" s="30">
        <f>H22/$D$22</f>
        <v>0</v>
      </c>
      <c r="I23" s="30">
        <f>I22/$D$22</f>
        <v>0</v>
      </c>
      <c r="J23" s="427"/>
    </row>
    <row r="24" spans="2:11" x14ac:dyDescent="0.25">
      <c r="B24" s="429" t="s">
        <v>111</v>
      </c>
      <c r="C24" s="431"/>
      <c r="D24" s="431"/>
      <c r="E24" s="430"/>
      <c r="F24" s="36">
        <f>F22</f>
        <v>0</v>
      </c>
      <c r="G24" s="36">
        <f>G22+F24</f>
        <v>0</v>
      </c>
      <c r="H24" s="36">
        <f>H22+G24</f>
        <v>0</v>
      </c>
      <c r="I24" s="36">
        <f>I22+H24+0.01</f>
        <v>0.01</v>
      </c>
      <c r="J24" s="427"/>
    </row>
    <row r="25" spans="2:11" ht="15.75" thickBot="1" x14ac:dyDescent="0.3">
      <c r="B25" s="432" t="s">
        <v>112</v>
      </c>
      <c r="C25" s="433"/>
      <c r="D25" s="433"/>
      <c r="E25" s="434"/>
      <c r="F25" s="37">
        <f>F23</f>
        <v>0</v>
      </c>
      <c r="G25" s="37">
        <f>F25+G23</f>
        <v>0</v>
      </c>
      <c r="H25" s="37">
        <f>G25+H23</f>
        <v>0</v>
      </c>
      <c r="I25" s="37">
        <f>H25+I23</f>
        <v>0</v>
      </c>
      <c r="J25" s="428"/>
    </row>
    <row r="26" spans="2:11" x14ac:dyDescent="0.25">
      <c r="B26" s="259"/>
      <c r="C26" s="256"/>
      <c r="D26" s="260"/>
      <c r="E26" s="261"/>
      <c r="F26" s="261"/>
      <c r="G26" s="261"/>
      <c r="H26" s="261"/>
      <c r="I26" s="261"/>
      <c r="J26" s="262"/>
    </row>
    <row r="27" spans="2:11" ht="15.75" x14ac:dyDescent="0.25">
      <c r="B27" s="263"/>
      <c r="C27" s="414" t="s">
        <v>69</v>
      </c>
      <c r="D27" s="414"/>
      <c r="E27" s="414"/>
      <c r="F27" s="414"/>
      <c r="G27" s="264"/>
      <c r="H27" s="264"/>
      <c r="I27" s="264"/>
      <c r="J27" s="265"/>
    </row>
    <row r="28" spans="2:11" ht="15.75" x14ac:dyDescent="0.25">
      <c r="B28" s="263"/>
      <c r="C28" s="414" t="s">
        <v>258</v>
      </c>
      <c r="D28" s="414"/>
      <c r="E28" s="414"/>
      <c r="F28" s="414"/>
      <c r="G28" s="264"/>
      <c r="H28" s="264"/>
      <c r="I28" s="264"/>
      <c r="J28" s="265"/>
    </row>
    <row r="29" spans="2:11" ht="15.75" x14ac:dyDescent="0.25">
      <c r="B29" s="263"/>
      <c r="C29" s="414" t="s">
        <v>182</v>
      </c>
      <c r="D29" s="414"/>
      <c r="E29" s="414"/>
      <c r="F29" s="414"/>
      <c r="G29" s="264"/>
      <c r="H29" s="264"/>
      <c r="I29" s="264"/>
      <c r="J29" s="265"/>
    </row>
    <row r="30" spans="2:11" ht="16.5" thickBot="1" x14ac:dyDescent="0.3">
      <c r="B30" s="266"/>
      <c r="C30" s="415" t="s">
        <v>172</v>
      </c>
      <c r="D30" s="415"/>
      <c r="E30" s="415"/>
      <c r="F30" s="415"/>
      <c r="G30" s="267"/>
      <c r="H30" s="267"/>
      <c r="I30" s="267"/>
      <c r="J30" s="268"/>
    </row>
  </sheetData>
  <mergeCells count="17">
    <mergeCell ref="B25:E25"/>
    <mergeCell ref="C27:F27"/>
    <mergeCell ref="C28:F28"/>
    <mergeCell ref="C29:F29"/>
    <mergeCell ref="C30:F30"/>
    <mergeCell ref="C1:G1"/>
    <mergeCell ref="B7:C7"/>
    <mergeCell ref="B5:J5"/>
    <mergeCell ref="C4:G4"/>
    <mergeCell ref="C3:G3"/>
    <mergeCell ref="C2:G2"/>
    <mergeCell ref="F6:G6"/>
    <mergeCell ref="J21:J25"/>
    <mergeCell ref="B21:C21"/>
    <mergeCell ref="B22:C22"/>
    <mergeCell ref="B23:E23"/>
    <mergeCell ref="B24:E24"/>
  </mergeCells>
  <pageMargins left="0.511811024" right="0.511811024" top="0.78740157499999996" bottom="0.78740157499999996" header="0.31496062000000002" footer="0.31496062000000002"/>
  <pageSetup paperSize="9" scale="83" fitToHeight="0" orientation="landscape" verticalDpi="300" r:id="rId1"/>
  <ignoredErrors>
    <ignoredError sqref="I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B8511-82F3-449A-B792-C1D3884C5F10}">
  <sheetPr>
    <pageSetUpPr fitToPage="1"/>
  </sheetPr>
  <dimension ref="B1:G40"/>
  <sheetViews>
    <sheetView workbookViewId="0">
      <selection activeCell="B40" sqref="B2:E40"/>
    </sheetView>
  </sheetViews>
  <sheetFormatPr defaultRowHeight="15.75" x14ac:dyDescent="0.25"/>
  <cols>
    <col min="1" max="1" width="9.140625" style="105"/>
    <col min="2" max="2" width="5.28515625" style="104" customWidth="1"/>
    <col min="3" max="3" width="55.5703125" style="105" customWidth="1"/>
    <col min="4" max="4" width="17.7109375" style="105" customWidth="1"/>
    <col min="5" max="5" width="22.85546875" style="105" customWidth="1"/>
    <col min="6" max="6" width="18.42578125" style="105" customWidth="1"/>
    <col min="7" max="7" width="18" style="105" bestFit="1" customWidth="1"/>
    <col min="8" max="16384" width="9.140625" style="105"/>
  </cols>
  <sheetData>
    <row r="1" spans="2:7" ht="20.100000000000001" customHeight="1" thickBot="1" x14ac:dyDescent="0.3"/>
    <row r="2" spans="2:7" ht="20.100000000000001" customHeight="1" x14ac:dyDescent="0.25">
      <c r="B2" s="450" t="s">
        <v>71</v>
      </c>
      <c r="C2" s="451"/>
      <c r="D2" s="451"/>
      <c r="E2" s="452"/>
      <c r="F2" s="106"/>
      <c r="G2" s="107"/>
    </row>
    <row r="3" spans="2:7" ht="20.100000000000001" customHeight="1" x14ac:dyDescent="0.25">
      <c r="B3" s="465" t="s">
        <v>113</v>
      </c>
      <c r="C3" s="466"/>
      <c r="D3" s="466"/>
      <c r="E3" s="467"/>
      <c r="F3" s="108"/>
      <c r="G3" s="109"/>
    </row>
    <row r="4" spans="2:7" ht="20.100000000000001" customHeight="1" x14ac:dyDescent="0.25">
      <c r="B4" s="468" t="s">
        <v>2</v>
      </c>
      <c r="C4" s="469"/>
      <c r="D4" s="469"/>
      <c r="E4" s="470"/>
      <c r="F4" s="110"/>
      <c r="G4" s="110"/>
    </row>
    <row r="5" spans="2:7" ht="20.100000000000001" customHeight="1" thickBot="1" x14ac:dyDescent="0.3">
      <c r="B5" s="465" t="s">
        <v>72</v>
      </c>
      <c r="C5" s="466"/>
      <c r="D5" s="466"/>
      <c r="E5" s="467"/>
      <c r="F5" s="109"/>
      <c r="G5" s="109"/>
    </row>
    <row r="6" spans="2:7" ht="20.100000000000001" customHeight="1" thickBot="1" x14ac:dyDescent="0.3">
      <c r="B6" s="435" t="s">
        <v>114</v>
      </c>
      <c r="C6" s="436"/>
      <c r="D6" s="436"/>
      <c r="E6" s="437"/>
    </row>
    <row r="7" spans="2:7" ht="20.100000000000001" customHeight="1" x14ac:dyDescent="0.25">
      <c r="B7" s="257" t="s">
        <v>6</v>
      </c>
      <c r="C7" s="258" t="s">
        <v>115</v>
      </c>
      <c r="D7" s="438" t="s">
        <v>116</v>
      </c>
      <c r="E7" s="439"/>
    </row>
    <row r="8" spans="2:7" ht="20.100000000000001" customHeight="1" x14ac:dyDescent="0.25">
      <c r="B8" s="111" t="s">
        <v>117</v>
      </c>
      <c r="C8" s="112" t="s">
        <v>118</v>
      </c>
      <c r="D8" s="440">
        <f>SUM(D9:D12)</f>
        <v>4.3699999999999996E-2</v>
      </c>
      <c r="E8" s="441"/>
    </row>
    <row r="9" spans="2:7" ht="20.100000000000001" customHeight="1" x14ac:dyDescent="0.25">
      <c r="B9" s="113" t="s">
        <v>12</v>
      </c>
      <c r="C9" s="114" t="s">
        <v>119</v>
      </c>
      <c r="D9" s="442">
        <v>0.03</v>
      </c>
      <c r="E9" s="443" t="e">
        <f>D9*#REF!</f>
        <v>#REF!</v>
      </c>
    </row>
    <row r="10" spans="2:7" ht="20.100000000000001" customHeight="1" x14ac:dyDescent="0.25">
      <c r="B10" s="113" t="s">
        <v>21</v>
      </c>
      <c r="C10" s="114" t="s">
        <v>120</v>
      </c>
      <c r="D10" s="442">
        <v>1.1999999999999999E-3</v>
      </c>
      <c r="E10" s="443" t="e">
        <f>D10*#REF!</f>
        <v>#REF!</v>
      </c>
    </row>
    <row r="11" spans="2:7" ht="20.100000000000001" customHeight="1" x14ac:dyDescent="0.25">
      <c r="B11" s="113" t="s">
        <v>31</v>
      </c>
      <c r="C11" s="114" t="s">
        <v>121</v>
      </c>
      <c r="D11" s="442">
        <v>9.7000000000000003E-3</v>
      </c>
      <c r="E11" s="443" t="e">
        <f>D11*#REF!</f>
        <v>#REF!</v>
      </c>
    </row>
    <row r="12" spans="2:7" ht="20.100000000000001" customHeight="1" x14ac:dyDescent="0.25">
      <c r="B12" s="113" t="s">
        <v>33</v>
      </c>
      <c r="C12" s="114" t="s">
        <v>122</v>
      </c>
      <c r="D12" s="442">
        <v>2.8E-3</v>
      </c>
      <c r="E12" s="443" t="e">
        <f>D12*#REF!</f>
        <v>#REF!</v>
      </c>
    </row>
    <row r="13" spans="2:7" ht="20.100000000000001" customHeight="1" x14ac:dyDescent="0.25">
      <c r="B13" s="480"/>
      <c r="C13" s="481"/>
      <c r="D13" s="481"/>
      <c r="E13" s="482"/>
    </row>
    <row r="14" spans="2:7" ht="20.100000000000001" customHeight="1" x14ac:dyDescent="0.25">
      <c r="B14" s="111" t="s">
        <v>123</v>
      </c>
      <c r="C14" s="112" t="s">
        <v>124</v>
      </c>
      <c r="D14" s="440">
        <f>SUM(D15:D18)</f>
        <v>0.1055</v>
      </c>
      <c r="E14" s="441" t="e">
        <f>D14*#REF!</f>
        <v>#REF!</v>
      </c>
    </row>
    <row r="15" spans="2:7" ht="20.100000000000001" customHeight="1" x14ac:dyDescent="0.25">
      <c r="B15" s="113" t="s">
        <v>41</v>
      </c>
      <c r="C15" s="114" t="s">
        <v>125</v>
      </c>
      <c r="D15" s="442">
        <v>6.4999999999999997E-3</v>
      </c>
      <c r="E15" s="443" t="e">
        <f>D15*#REF!</f>
        <v>#REF!</v>
      </c>
    </row>
    <row r="16" spans="2:7" ht="20.100000000000001" customHeight="1" x14ac:dyDescent="0.25">
      <c r="B16" s="113" t="s">
        <v>126</v>
      </c>
      <c r="C16" s="114" t="s">
        <v>127</v>
      </c>
      <c r="D16" s="442">
        <v>0.03</v>
      </c>
      <c r="E16" s="443" t="e">
        <f>D16*#REF!</f>
        <v>#REF!</v>
      </c>
    </row>
    <row r="17" spans="2:5" ht="20.100000000000001" customHeight="1" x14ac:dyDescent="0.25">
      <c r="B17" s="113" t="s">
        <v>128</v>
      </c>
      <c r="C17" s="114" t="s">
        <v>129</v>
      </c>
      <c r="D17" s="442">
        <v>2.4E-2</v>
      </c>
      <c r="E17" s="443" t="e">
        <f>D17*#REF!</f>
        <v>#REF!</v>
      </c>
    </row>
    <row r="18" spans="2:5" ht="20.100000000000001" customHeight="1" x14ac:dyDescent="0.25">
      <c r="B18" s="113" t="s">
        <v>130</v>
      </c>
      <c r="C18" s="114" t="s">
        <v>131</v>
      </c>
      <c r="D18" s="442">
        <v>4.4999999999999998E-2</v>
      </c>
      <c r="E18" s="443" t="e">
        <f>D18*#REF!</f>
        <v>#REF!</v>
      </c>
    </row>
    <row r="19" spans="2:5" ht="20.100000000000001" customHeight="1" x14ac:dyDescent="0.25">
      <c r="B19" s="480"/>
      <c r="C19" s="481"/>
      <c r="D19" s="481"/>
      <c r="E19" s="482"/>
    </row>
    <row r="20" spans="2:5" ht="20.100000000000001" customHeight="1" x14ac:dyDescent="0.25">
      <c r="B20" s="111" t="s">
        <v>132</v>
      </c>
      <c r="C20" s="112" t="s">
        <v>133</v>
      </c>
      <c r="D20" s="440">
        <f>D21</f>
        <v>6.1600000000000002E-2</v>
      </c>
      <c r="E20" s="441" t="e">
        <f>D20*#REF!</f>
        <v>#REF!</v>
      </c>
    </row>
    <row r="21" spans="2:5" ht="20.100000000000001" customHeight="1" x14ac:dyDescent="0.25">
      <c r="B21" s="113" t="s">
        <v>134</v>
      </c>
      <c r="C21" s="114" t="s">
        <v>135</v>
      </c>
      <c r="D21" s="442">
        <v>6.1600000000000002E-2</v>
      </c>
      <c r="E21" s="443" t="e">
        <f>D21*#REF!</f>
        <v>#REF!</v>
      </c>
    </row>
    <row r="22" spans="2:5" ht="20.100000000000001" customHeight="1" x14ac:dyDescent="0.25">
      <c r="B22" s="480"/>
      <c r="C22" s="481"/>
      <c r="D22" s="481"/>
      <c r="E22" s="482"/>
    </row>
    <row r="23" spans="2:5" ht="20.100000000000001" customHeight="1" x14ac:dyDescent="0.25">
      <c r="B23" s="115" t="s">
        <v>136</v>
      </c>
      <c r="C23" s="116" t="s">
        <v>137</v>
      </c>
      <c r="D23" s="483">
        <f>(1+SUM(D9:D11))*(1+D12)*(1+D20)/(1-D14)-1</f>
        <v>0.23880770758188929</v>
      </c>
      <c r="E23" s="484"/>
    </row>
    <row r="24" spans="2:5" ht="20.100000000000001" customHeight="1" x14ac:dyDescent="0.25">
      <c r="B24" s="480"/>
      <c r="C24" s="481"/>
      <c r="D24" s="481"/>
      <c r="E24" s="482"/>
    </row>
    <row r="25" spans="2:5" ht="33" customHeight="1" x14ac:dyDescent="0.25">
      <c r="B25" s="453" t="s">
        <v>138</v>
      </c>
      <c r="C25" s="454"/>
      <c r="D25" s="454"/>
      <c r="E25" s="455"/>
    </row>
    <row r="26" spans="2:5" ht="20.100000000000001" customHeight="1" x14ac:dyDescent="0.25">
      <c r="B26" s="456"/>
      <c r="C26" s="457"/>
      <c r="D26" s="457"/>
      <c r="E26" s="458"/>
    </row>
    <row r="27" spans="2:5" ht="20.100000000000001" customHeight="1" x14ac:dyDescent="0.25">
      <c r="B27" s="459"/>
      <c r="C27" s="460"/>
      <c r="D27" s="460"/>
      <c r="E27" s="461"/>
    </row>
    <row r="28" spans="2:5" ht="20.100000000000001" customHeight="1" x14ac:dyDescent="0.25">
      <c r="B28" s="462"/>
      <c r="C28" s="463"/>
      <c r="D28" s="463"/>
      <c r="E28" s="464"/>
    </row>
    <row r="29" spans="2:5" ht="20.100000000000001" customHeight="1" x14ac:dyDescent="0.25">
      <c r="B29" s="444" t="s">
        <v>139</v>
      </c>
      <c r="C29" s="445"/>
      <c r="D29" s="445"/>
      <c r="E29" s="446"/>
    </row>
    <row r="30" spans="2:5" ht="20.100000000000001" customHeight="1" x14ac:dyDescent="0.25">
      <c r="B30" s="444" t="s">
        <v>140</v>
      </c>
      <c r="C30" s="445"/>
      <c r="D30" s="445"/>
      <c r="E30" s="446"/>
    </row>
    <row r="31" spans="2:5" ht="20.100000000000001" customHeight="1" x14ac:dyDescent="0.25">
      <c r="B31" s="444" t="s">
        <v>141</v>
      </c>
      <c r="C31" s="445"/>
      <c r="D31" s="445"/>
      <c r="E31" s="446"/>
    </row>
    <row r="32" spans="2:5" ht="20.100000000000001" customHeight="1" x14ac:dyDescent="0.25">
      <c r="B32" s="444" t="s">
        <v>142</v>
      </c>
      <c r="C32" s="445"/>
      <c r="D32" s="445"/>
      <c r="E32" s="446"/>
    </row>
    <row r="33" spans="2:5" ht="20.100000000000001" customHeight="1" x14ac:dyDescent="0.25">
      <c r="B33" s="444" t="s">
        <v>143</v>
      </c>
      <c r="C33" s="445"/>
      <c r="D33" s="445"/>
      <c r="E33" s="446"/>
    </row>
    <row r="34" spans="2:5" ht="20.100000000000001" customHeight="1" x14ac:dyDescent="0.25">
      <c r="B34" s="444" t="s">
        <v>144</v>
      </c>
      <c r="C34" s="445"/>
      <c r="D34" s="445"/>
      <c r="E34" s="446"/>
    </row>
    <row r="35" spans="2:5" ht="20.100000000000001" customHeight="1" x14ac:dyDescent="0.25">
      <c r="B35" s="444" t="s">
        <v>145</v>
      </c>
      <c r="C35" s="445"/>
      <c r="D35" s="445"/>
      <c r="E35" s="446"/>
    </row>
    <row r="36" spans="2:5" ht="20.100000000000001" customHeight="1" thickBot="1" x14ac:dyDescent="0.3">
      <c r="B36" s="447"/>
      <c r="C36" s="448"/>
      <c r="D36" s="448"/>
      <c r="E36" s="449"/>
    </row>
    <row r="37" spans="2:5" ht="20.100000000000001" customHeight="1" x14ac:dyDescent="0.25">
      <c r="B37" s="471"/>
      <c r="C37" s="472"/>
      <c r="D37" s="472"/>
      <c r="E37" s="473"/>
    </row>
    <row r="38" spans="2:5" ht="20.100000000000001" customHeight="1" x14ac:dyDescent="0.25">
      <c r="B38" s="474" t="s">
        <v>70</v>
      </c>
      <c r="C38" s="475"/>
      <c r="D38" s="475"/>
      <c r="E38" s="476"/>
    </row>
    <row r="39" spans="2:5" ht="20.100000000000001" customHeight="1" x14ac:dyDescent="0.25">
      <c r="B39" s="474" t="s">
        <v>182</v>
      </c>
      <c r="C39" s="475"/>
      <c r="D39" s="475"/>
      <c r="E39" s="476"/>
    </row>
    <row r="40" spans="2:5" ht="20.100000000000001" customHeight="1" thickBot="1" x14ac:dyDescent="0.3">
      <c r="B40" s="477" t="s">
        <v>172</v>
      </c>
      <c r="C40" s="478"/>
      <c r="D40" s="478"/>
      <c r="E40" s="479"/>
    </row>
  </sheetData>
  <mergeCells count="37">
    <mergeCell ref="B37:E37"/>
    <mergeCell ref="B38:E38"/>
    <mergeCell ref="B39:E39"/>
    <mergeCell ref="B40:E40"/>
    <mergeCell ref="D12:E12"/>
    <mergeCell ref="D14:E14"/>
    <mergeCell ref="D15:E15"/>
    <mergeCell ref="D16:E16"/>
    <mergeCell ref="D17:E17"/>
    <mergeCell ref="B13:E13"/>
    <mergeCell ref="B19:E19"/>
    <mergeCell ref="B22:E22"/>
    <mergeCell ref="B24:E24"/>
    <mergeCell ref="B33:E33"/>
    <mergeCell ref="B34:E34"/>
    <mergeCell ref="D23:E23"/>
    <mergeCell ref="B35:E35"/>
    <mergeCell ref="B36:E36"/>
    <mergeCell ref="B2:E2"/>
    <mergeCell ref="B25:E25"/>
    <mergeCell ref="B26:E28"/>
    <mergeCell ref="B29:E29"/>
    <mergeCell ref="B30:E30"/>
    <mergeCell ref="B31:E31"/>
    <mergeCell ref="B32:E32"/>
    <mergeCell ref="D18:E18"/>
    <mergeCell ref="D20:E20"/>
    <mergeCell ref="D21:E21"/>
    <mergeCell ref="B3:E3"/>
    <mergeCell ref="B4:E4"/>
    <mergeCell ref="B5:E5"/>
    <mergeCell ref="D11:E11"/>
    <mergeCell ref="B6:E6"/>
    <mergeCell ref="D7:E7"/>
    <mergeCell ref="D8:E8"/>
    <mergeCell ref="D9:E9"/>
    <mergeCell ref="D10:E10"/>
  </mergeCells>
  <pageMargins left="0.511811024" right="0.511811024" top="0.78740157499999996" bottom="0.78740157499999996" header="0.31496062000000002" footer="0.31496062000000002"/>
  <pageSetup paperSize="9" scale="7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MEMÓRIA DE CÁLCULO</vt:lpstr>
      <vt:lpstr>ORÇAMENTO </vt:lpstr>
      <vt:lpstr>CRONOGRAMA</vt:lpstr>
      <vt:lpstr>Composição BDI</vt:lpstr>
      <vt:lpstr>CRONOGRAMA!Area_de_impressao</vt:lpstr>
      <vt:lpstr>'MEMÓRIA DE CÁLCULO'!Area_de_impressao</vt:lpstr>
      <vt:lpstr>'ORÇAMENTO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Drielid Rocha</cp:lastModifiedBy>
  <cp:revision/>
  <cp:lastPrinted>2022-02-14T12:48:29Z</cp:lastPrinted>
  <dcterms:created xsi:type="dcterms:W3CDTF">2017-11-14T15:22:18Z</dcterms:created>
  <dcterms:modified xsi:type="dcterms:W3CDTF">2022-02-24T20:15:05Z</dcterms:modified>
  <cp:category/>
  <cp:contentStatus/>
</cp:coreProperties>
</file>