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showInkAnnotation="0" defaultThemeVersion="124226"/>
  <xr:revisionPtr revIDLastSave="0" documentId="13_ncr:1_{F02936B9-C21A-47BA-9C04-B87FCC53AF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" r:id="rId1"/>
    <sheet name="MEMÓRIA DE CÁLCULO" sheetId="2" r:id="rId2"/>
    <sheet name="BDI" sheetId="6" r:id="rId3"/>
    <sheet name="CRONOGRAMA" sheetId="7" r:id="rId4"/>
  </sheets>
  <definedNames>
    <definedName name="_xlnm._FilterDatabase" localSheetId="0" hidden="1">ORÇAMENTO!#REF!</definedName>
    <definedName name="BDI">(BDI!$J$12/100)+1</definedName>
    <definedName name="VALOR_TOTAL">ORÇAMENTO!$I$293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7" i="1" l="1"/>
  <c r="E267" i="1"/>
  <c r="F93" i="7"/>
  <c r="F91" i="7"/>
  <c r="F19" i="6"/>
  <c r="F17" i="6"/>
  <c r="D8" i="7" l="1"/>
  <c r="D8" i="6"/>
  <c r="B8" i="2"/>
  <c r="I185" i="1" l="1"/>
  <c r="I170" i="1"/>
  <c r="I171" i="1"/>
  <c r="I180" i="1"/>
  <c r="I181" i="1"/>
  <c r="I182" i="1"/>
  <c r="I183" i="1"/>
  <c r="D174" i="1"/>
  <c r="J174" i="1"/>
  <c r="K174" i="1"/>
  <c r="L174" i="1" s="1"/>
  <c r="J164" i="1" l="1"/>
  <c r="K164" i="1"/>
  <c r="J148" i="1"/>
  <c r="K148" i="1"/>
  <c r="L148" i="1" s="1"/>
  <c r="L22" i="1"/>
  <c r="L27" i="1"/>
  <c r="L34" i="1"/>
  <c r="L46" i="1"/>
  <c r="L58" i="1"/>
  <c r="L94" i="1"/>
  <c r="L187" i="1"/>
  <c r="L196" i="1"/>
  <c r="L200" i="1"/>
  <c r="L209" i="1"/>
  <c r="L213" i="1"/>
  <c r="L214" i="1"/>
  <c r="L221" i="1"/>
  <c r="L225" i="1"/>
  <c r="L231" i="1"/>
  <c r="L235" i="1"/>
  <c r="L242" i="1"/>
  <c r="L247" i="1"/>
  <c r="L257" i="1"/>
  <c r="L265" i="1"/>
  <c r="L269" i="1"/>
  <c r="L278" i="1"/>
  <c r="J208" i="1"/>
  <c r="K208" i="1"/>
  <c r="J210" i="1"/>
  <c r="K210" i="1"/>
  <c r="E61" i="1"/>
  <c r="I61" i="1" s="1"/>
  <c r="E62" i="1"/>
  <c r="I62" i="1" s="1"/>
  <c r="E63" i="1"/>
  <c r="I63" i="1" s="1"/>
  <c r="E64" i="1"/>
  <c r="I64" i="1" s="1"/>
  <c r="E65" i="1"/>
  <c r="I65" i="1" s="1"/>
  <c r="E66" i="1"/>
  <c r="I66" i="1" s="1"/>
  <c r="E67" i="1"/>
  <c r="I67" i="1" s="1"/>
  <c r="E68" i="1"/>
  <c r="I68" i="1" s="1"/>
  <c r="E69" i="1"/>
  <c r="I69" i="1" s="1"/>
  <c r="E70" i="1"/>
  <c r="I70" i="1" s="1"/>
  <c r="E71" i="1"/>
  <c r="I71" i="1" s="1"/>
  <c r="E72" i="1"/>
  <c r="I72" i="1" s="1"/>
  <c r="E73" i="1"/>
  <c r="I73" i="1" s="1"/>
  <c r="E74" i="1"/>
  <c r="I74" i="1" s="1"/>
  <c r="E75" i="1"/>
  <c r="I75" i="1" s="1"/>
  <c r="E76" i="1"/>
  <c r="I76" i="1" s="1"/>
  <c r="E77" i="1"/>
  <c r="I77" i="1" s="1"/>
  <c r="E78" i="1"/>
  <c r="I78" i="1" s="1"/>
  <c r="E79" i="1"/>
  <c r="I79" i="1" s="1"/>
  <c r="E80" i="1"/>
  <c r="I80" i="1" s="1"/>
  <c r="E81" i="1"/>
  <c r="I81" i="1" s="1"/>
  <c r="E82" i="1"/>
  <c r="I82" i="1" s="1"/>
  <c r="E83" i="1"/>
  <c r="I83" i="1" s="1"/>
  <c r="E84" i="1"/>
  <c r="I84" i="1" s="1"/>
  <c r="E85" i="1"/>
  <c r="I85" i="1" s="1"/>
  <c r="E86" i="1"/>
  <c r="I86" i="1" s="1"/>
  <c r="E87" i="1"/>
  <c r="I87" i="1" s="1"/>
  <c r="E88" i="1"/>
  <c r="I88" i="1" s="1"/>
  <c r="E89" i="1"/>
  <c r="I89" i="1" s="1"/>
  <c r="E90" i="1"/>
  <c r="I90" i="1" s="1"/>
  <c r="E91" i="1"/>
  <c r="I91" i="1" s="1"/>
  <c r="E92" i="1"/>
  <c r="I92" i="1" s="1"/>
  <c r="E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60" i="1"/>
  <c r="D189" i="2"/>
  <c r="D191" i="2" s="1"/>
  <c r="D192" i="2" s="1"/>
  <c r="E55" i="1" s="1"/>
  <c r="I55" i="1" s="1"/>
  <c r="D181" i="2"/>
  <c r="D174" i="2"/>
  <c r="D168" i="2"/>
  <c r="D158" i="2"/>
  <c r="D157" i="2"/>
  <c r="D154" i="2"/>
  <c r="D153" i="2"/>
  <c r="D150" i="2"/>
  <c r="D149" i="2"/>
  <c r="D124" i="2"/>
  <c r="D19" i="2"/>
  <c r="E15" i="1" s="1"/>
  <c r="K15" i="1" l="1"/>
  <c r="I15" i="1"/>
  <c r="L208" i="1"/>
  <c r="J15" i="1"/>
  <c r="L210" i="1"/>
  <c r="L164" i="1"/>
  <c r="E98" i="1"/>
  <c r="E99" i="1"/>
  <c r="I99" i="1" s="1"/>
  <c r="E100" i="1"/>
  <c r="I100" i="1" s="1"/>
  <c r="E101" i="1"/>
  <c r="I101" i="1" s="1"/>
  <c r="E102" i="1"/>
  <c r="I102" i="1" s="1"/>
  <c r="E104" i="1"/>
  <c r="I104" i="1" s="1"/>
  <c r="E105" i="1"/>
  <c r="E106" i="1"/>
  <c r="I106" i="1" s="1"/>
  <c r="E107" i="1"/>
  <c r="I107" i="1" s="1"/>
  <c r="E108" i="1"/>
  <c r="I108" i="1" s="1"/>
  <c r="E109" i="1"/>
  <c r="I109" i="1" s="1"/>
  <c r="E111" i="1"/>
  <c r="I111" i="1" s="1"/>
  <c r="E112" i="1"/>
  <c r="I112" i="1" s="1"/>
  <c r="E113" i="1"/>
  <c r="I113" i="1" s="1"/>
  <c r="J114" i="1"/>
  <c r="E115" i="1"/>
  <c r="I115" i="1" s="1"/>
  <c r="E117" i="1"/>
  <c r="I117" i="1" s="1"/>
  <c r="E118" i="1"/>
  <c r="I118" i="1" s="1"/>
  <c r="E119" i="1"/>
  <c r="I119" i="1" s="1"/>
  <c r="E120" i="1"/>
  <c r="I120" i="1" s="1"/>
  <c r="E123" i="1"/>
  <c r="I123" i="1" s="1"/>
  <c r="E124" i="1"/>
  <c r="I124" i="1" s="1"/>
  <c r="E125" i="1"/>
  <c r="I125" i="1" s="1"/>
  <c r="E127" i="1"/>
  <c r="I127" i="1" s="1"/>
  <c r="E128" i="1"/>
  <c r="I128" i="1" s="1"/>
  <c r="E129" i="1"/>
  <c r="I129" i="1" s="1"/>
  <c r="E131" i="1"/>
  <c r="I131" i="1" s="1"/>
  <c r="E132" i="1"/>
  <c r="I132" i="1" s="1"/>
  <c r="E133" i="1"/>
  <c r="E134" i="1"/>
  <c r="I134" i="1" s="1"/>
  <c r="E136" i="1"/>
  <c r="I136" i="1" s="1"/>
  <c r="E137" i="1"/>
  <c r="I137" i="1" s="1"/>
  <c r="E138" i="1"/>
  <c r="I138" i="1" s="1"/>
  <c r="E139" i="1"/>
  <c r="I139" i="1" s="1"/>
  <c r="E140" i="1"/>
  <c r="I140" i="1" s="1"/>
  <c r="E142" i="1"/>
  <c r="I142" i="1" s="1"/>
  <c r="E143" i="1"/>
  <c r="I143" i="1" s="1"/>
  <c r="E144" i="1"/>
  <c r="I144" i="1" s="1"/>
  <c r="E147" i="1"/>
  <c r="I147" i="1" s="1"/>
  <c r="E149" i="1"/>
  <c r="I149" i="1" s="1"/>
  <c r="E150" i="1"/>
  <c r="I150" i="1" s="1"/>
  <c r="E152" i="1"/>
  <c r="I152" i="1" s="1"/>
  <c r="E153" i="1"/>
  <c r="I153" i="1" s="1"/>
  <c r="E154" i="1"/>
  <c r="I154" i="1" s="1"/>
  <c r="E155" i="1"/>
  <c r="I155" i="1" s="1"/>
  <c r="E156" i="1"/>
  <c r="I156" i="1" s="1"/>
  <c r="E157" i="1"/>
  <c r="I157" i="1" s="1"/>
  <c r="E158" i="1"/>
  <c r="I158" i="1" s="1"/>
  <c r="E159" i="1"/>
  <c r="I159" i="1" s="1"/>
  <c r="E160" i="1"/>
  <c r="I160" i="1" s="1"/>
  <c r="E161" i="1"/>
  <c r="I161" i="1" s="1"/>
  <c r="E162" i="1"/>
  <c r="I162" i="1" s="1"/>
  <c r="E163" i="1"/>
  <c r="I163" i="1" s="1"/>
  <c r="E165" i="1"/>
  <c r="I165" i="1" s="1"/>
  <c r="E166" i="1"/>
  <c r="I166" i="1" s="1"/>
  <c r="E167" i="1"/>
  <c r="I167" i="1" s="1"/>
  <c r="E168" i="1"/>
  <c r="I168" i="1" s="1"/>
  <c r="E169" i="1"/>
  <c r="I169" i="1" s="1"/>
  <c r="E173" i="1"/>
  <c r="I173" i="1" s="1"/>
  <c r="E175" i="1"/>
  <c r="I175" i="1" s="1"/>
  <c r="E176" i="1"/>
  <c r="I176" i="1" s="1"/>
  <c r="E178" i="1"/>
  <c r="I178" i="1" s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5" i="1"/>
  <c r="D176" i="1"/>
  <c r="D177" i="1"/>
  <c r="D178" i="1"/>
  <c r="D179" i="1"/>
  <c r="D180" i="1"/>
  <c r="D181" i="1"/>
  <c r="D182" i="1"/>
  <c r="D183" i="1"/>
  <c r="D184" i="1"/>
  <c r="D185" i="1"/>
  <c r="D96" i="1"/>
  <c r="A326" i="2"/>
  <c r="A327" i="2"/>
  <c r="A328" i="2"/>
  <c r="A329" i="2"/>
  <c r="A330" i="2"/>
  <c r="A331" i="2"/>
  <c r="A334" i="2"/>
  <c r="B324" i="2"/>
  <c r="K114" i="1"/>
  <c r="L15" i="1" l="1"/>
  <c r="K105" i="1"/>
  <c r="I105" i="1"/>
  <c r="L114" i="1"/>
  <c r="J161" i="1"/>
  <c r="K161" i="1"/>
  <c r="J176" i="1"/>
  <c r="K176" i="1"/>
  <c r="J159" i="1"/>
  <c r="K159" i="1"/>
  <c r="K99" i="1"/>
  <c r="J99" i="1"/>
  <c r="J175" i="1"/>
  <c r="K175" i="1"/>
  <c r="J136" i="1"/>
  <c r="K136" i="1"/>
  <c r="J107" i="1"/>
  <c r="J163" i="1"/>
  <c r="K163" i="1"/>
  <c r="J111" i="1"/>
  <c r="K111" i="1"/>
  <c r="K100" i="1"/>
  <c r="J100" i="1"/>
  <c r="J162" i="1"/>
  <c r="K162" i="1"/>
  <c r="J149" i="1"/>
  <c r="K149" i="1"/>
  <c r="K107" i="1"/>
  <c r="J105" i="1"/>
  <c r="J106" i="1"/>
  <c r="K106" i="1"/>
  <c r="J156" i="1"/>
  <c r="K155" i="1"/>
  <c r="J79" i="7"/>
  <c r="J76" i="7"/>
  <c r="J73" i="7"/>
  <c r="J70" i="7"/>
  <c r="J67" i="7"/>
  <c r="J64" i="7"/>
  <c r="J61" i="7"/>
  <c r="J58" i="7"/>
  <c r="J55" i="7"/>
  <c r="J52" i="7"/>
  <c r="J49" i="7"/>
  <c r="J46" i="7"/>
  <c r="J43" i="7"/>
  <c r="J40" i="7"/>
  <c r="J37" i="7"/>
  <c r="J34" i="7"/>
  <c r="J31" i="7"/>
  <c r="J28" i="7"/>
  <c r="J25" i="7"/>
  <c r="J22" i="7"/>
  <c r="J19" i="7"/>
  <c r="J16" i="7"/>
  <c r="J13" i="7"/>
  <c r="D4" i="7"/>
  <c r="D5" i="7"/>
  <c r="D6" i="7"/>
  <c r="D7" i="7"/>
  <c r="D9" i="7"/>
  <c r="D3" i="7"/>
  <c r="C3" i="7"/>
  <c r="C4" i="7"/>
  <c r="C5" i="7"/>
  <c r="C6" i="7"/>
  <c r="C7" i="7"/>
  <c r="C9" i="7"/>
  <c r="C1" i="7"/>
  <c r="B79" i="7"/>
  <c r="B76" i="7"/>
  <c r="B73" i="7"/>
  <c r="B70" i="7"/>
  <c r="B67" i="7"/>
  <c r="B64" i="7"/>
  <c r="B61" i="7"/>
  <c r="B58" i="7"/>
  <c r="B55" i="7"/>
  <c r="B52" i="7"/>
  <c r="B49" i="7"/>
  <c r="B46" i="7"/>
  <c r="B43" i="7"/>
  <c r="B40" i="7"/>
  <c r="B37" i="7"/>
  <c r="B34" i="7"/>
  <c r="B31" i="7"/>
  <c r="B28" i="7"/>
  <c r="B25" i="7"/>
  <c r="B22" i="7"/>
  <c r="B19" i="7"/>
  <c r="B16" i="7"/>
  <c r="D4" i="6"/>
  <c r="D5" i="6"/>
  <c r="D6" i="6"/>
  <c r="D7" i="6"/>
  <c r="D9" i="6"/>
  <c r="D3" i="6"/>
  <c r="C7" i="6"/>
  <c r="C9" i="6"/>
  <c r="C3" i="6"/>
  <c r="C4" i="6"/>
  <c r="C5" i="6"/>
  <c r="C6" i="6"/>
  <c r="C1" i="6"/>
  <c r="D475" i="2"/>
  <c r="I98" i="1"/>
  <c r="J57" i="1"/>
  <c r="K57" i="1"/>
  <c r="J21" i="1"/>
  <c r="K21" i="1"/>
  <c r="J23" i="1"/>
  <c r="K23" i="1"/>
  <c r="J26" i="1"/>
  <c r="K26" i="1"/>
  <c r="J28" i="1"/>
  <c r="K28" i="1"/>
  <c r="J33" i="1"/>
  <c r="K33" i="1"/>
  <c r="J35" i="1"/>
  <c r="K35" i="1"/>
  <c r="J45" i="1"/>
  <c r="K45" i="1"/>
  <c r="J47" i="1"/>
  <c r="K47" i="1"/>
  <c r="J59" i="1"/>
  <c r="K59" i="1"/>
  <c r="J93" i="1"/>
  <c r="K93" i="1"/>
  <c r="J95" i="1"/>
  <c r="K95" i="1"/>
  <c r="J96" i="1"/>
  <c r="K96" i="1"/>
  <c r="J97" i="1"/>
  <c r="K97" i="1"/>
  <c r="J98" i="1"/>
  <c r="K98" i="1"/>
  <c r="J101" i="1"/>
  <c r="K101" i="1"/>
  <c r="J102" i="1"/>
  <c r="K102" i="1"/>
  <c r="J103" i="1"/>
  <c r="K103" i="1"/>
  <c r="J104" i="1"/>
  <c r="K104" i="1"/>
  <c r="J108" i="1"/>
  <c r="K108" i="1"/>
  <c r="J109" i="1"/>
  <c r="K109" i="1"/>
  <c r="J110" i="1"/>
  <c r="K110" i="1"/>
  <c r="J112" i="1"/>
  <c r="K112" i="1"/>
  <c r="J113" i="1"/>
  <c r="K113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50" i="1"/>
  <c r="K150" i="1"/>
  <c r="J151" i="1"/>
  <c r="K151" i="1"/>
  <c r="J152" i="1"/>
  <c r="K152" i="1"/>
  <c r="J153" i="1"/>
  <c r="K153" i="1"/>
  <c r="L153" i="1" s="1"/>
  <c r="J154" i="1"/>
  <c r="K154" i="1"/>
  <c r="J157" i="1"/>
  <c r="K157" i="1"/>
  <c r="J158" i="1"/>
  <c r="K158" i="1"/>
  <c r="J160" i="1"/>
  <c r="K160" i="1"/>
  <c r="J165" i="1"/>
  <c r="K165" i="1"/>
  <c r="J166" i="1"/>
  <c r="K166" i="1"/>
  <c r="L166" i="1" s="1"/>
  <c r="J167" i="1"/>
  <c r="K167" i="1"/>
  <c r="J168" i="1"/>
  <c r="K168" i="1"/>
  <c r="J169" i="1"/>
  <c r="K169" i="1"/>
  <c r="J170" i="1"/>
  <c r="K170" i="1"/>
  <c r="J171" i="1"/>
  <c r="K171" i="1"/>
  <c r="J172" i="1"/>
  <c r="K172" i="1"/>
  <c r="L172" i="1" s="1"/>
  <c r="J173" i="1"/>
  <c r="K173" i="1"/>
  <c r="J177" i="1"/>
  <c r="K177" i="1"/>
  <c r="J178" i="1"/>
  <c r="K178" i="1"/>
  <c r="J179" i="1"/>
  <c r="K179" i="1"/>
  <c r="J180" i="1"/>
  <c r="K180" i="1"/>
  <c r="J181" i="1"/>
  <c r="K181" i="1"/>
  <c r="L181" i="1" s="1"/>
  <c r="J182" i="1"/>
  <c r="K182" i="1"/>
  <c r="J183" i="1"/>
  <c r="K183" i="1"/>
  <c r="J185" i="1"/>
  <c r="K185" i="1"/>
  <c r="J186" i="1"/>
  <c r="K186" i="1"/>
  <c r="J188" i="1"/>
  <c r="K188" i="1"/>
  <c r="J195" i="1"/>
  <c r="K195" i="1"/>
  <c r="L195" i="1" s="1"/>
  <c r="J197" i="1"/>
  <c r="K197" i="1"/>
  <c r="J199" i="1"/>
  <c r="K199" i="1"/>
  <c r="J201" i="1"/>
  <c r="K201" i="1"/>
  <c r="J204" i="1"/>
  <c r="K204" i="1"/>
  <c r="J205" i="1"/>
  <c r="K205" i="1"/>
  <c r="J206" i="1"/>
  <c r="K206" i="1"/>
  <c r="L206" i="1" s="1"/>
  <c r="J215" i="1"/>
  <c r="K215" i="1"/>
  <c r="J220" i="1"/>
  <c r="K220" i="1"/>
  <c r="J222" i="1"/>
  <c r="K222" i="1"/>
  <c r="J224" i="1"/>
  <c r="K224" i="1"/>
  <c r="J226" i="1"/>
  <c r="K226" i="1"/>
  <c r="J230" i="1"/>
  <c r="K230" i="1"/>
  <c r="L230" i="1" s="1"/>
  <c r="J232" i="1"/>
  <c r="K232" i="1"/>
  <c r="J234" i="1"/>
  <c r="K234" i="1"/>
  <c r="J236" i="1"/>
  <c r="K236" i="1"/>
  <c r="J241" i="1"/>
  <c r="K241" i="1"/>
  <c r="J243" i="1"/>
  <c r="K243" i="1"/>
  <c r="J246" i="1"/>
  <c r="K246" i="1"/>
  <c r="L246" i="1" s="1"/>
  <c r="J248" i="1"/>
  <c r="K248" i="1"/>
  <c r="J256" i="1"/>
  <c r="K256" i="1"/>
  <c r="J258" i="1"/>
  <c r="K258" i="1"/>
  <c r="J264" i="1"/>
  <c r="K264" i="1"/>
  <c r="J266" i="1"/>
  <c r="K266" i="1"/>
  <c r="J268" i="1"/>
  <c r="K268" i="1"/>
  <c r="J270" i="1"/>
  <c r="K270" i="1"/>
  <c r="J277" i="1"/>
  <c r="K277" i="1"/>
  <c r="J279" i="1"/>
  <c r="K279" i="1"/>
  <c r="D195" i="2"/>
  <c r="E56" i="1" s="1"/>
  <c r="I56" i="1" s="1"/>
  <c r="D561" i="2"/>
  <c r="E284" i="1" s="1"/>
  <c r="D282" i="1"/>
  <c r="D280" i="1"/>
  <c r="D276" i="1"/>
  <c r="D275" i="1"/>
  <c r="D274" i="1"/>
  <c r="D272" i="1"/>
  <c r="D271" i="1"/>
  <c r="D198" i="1"/>
  <c r="E207" i="1"/>
  <c r="D207" i="1"/>
  <c r="E189" i="1"/>
  <c r="I189" i="1" s="1"/>
  <c r="E190" i="1"/>
  <c r="E191" i="1"/>
  <c r="I191" i="1" s="1"/>
  <c r="E192" i="1"/>
  <c r="I192" i="1" s="1"/>
  <c r="E193" i="1"/>
  <c r="I193" i="1" s="1"/>
  <c r="E194" i="1"/>
  <c r="I194" i="1" s="1"/>
  <c r="J61" i="1"/>
  <c r="K62" i="1"/>
  <c r="J63" i="1"/>
  <c r="K64" i="1"/>
  <c r="K66" i="1"/>
  <c r="K67" i="1"/>
  <c r="K68" i="1"/>
  <c r="J69" i="1"/>
  <c r="K70" i="1"/>
  <c r="J71" i="1"/>
  <c r="K72" i="1"/>
  <c r="J73" i="1"/>
  <c r="K74" i="1"/>
  <c r="J75" i="1"/>
  <c r="K76" i="1"/>
  <c r="J77" i="1"/>
  <c r="K78" i="1"/>
  <c r="K79" i="1"/>
  <c r="K80" i="1"/>
  <c r="K82" i="1"/>
  <c r="J83" i="1"/>
  <c r="K84" i="1"/>
  <c r="J85" i="1"/>
  <c r="K86" i="1"/>
  <c r="J87" i="1"/>
  <c r="K88" i="1"/>
  <c r="J89" i="1"/>
  <c r="K90" i="1"/>
  <c r="K91" i="1"/>
  <c r="K92" i="1"/>
  <c r="K60" i="1"/>
  <c r="L268" i="1" l="1"/>
  <c r="L145" i="1"/>
  <c r="L139" i="1"/>
  <c r="L132" i="1"/>
  <c r="L126" i="1"/>
  <c r="L120" i="1"/>
  <c r="L113" i="1"/>
  <c r="L103" i="1"/>
  <c r="L95" i="1"/>
  <c r="L33" i="1"/>
  <c r="L105" i="1"/>
  <c r="L176" i="1"/>
  <c r="K284" i="1"/>
  <c r="I284" i="1"/>
  <c r="K190" i="1"/>
  <c r="I190" i="1"/>
  <c r="L279" i="1"/>
  <c r="L258" i="1"/>
  <c r="L236" i="1"/>
  <c r="L222" i="1"/>
  <c r="L201" i="1"/>
  <c r="L185" i="1"/>
  <c r="L178" i="1"/>
  <c r="L169" i="1"/>
  <c r="L158" i="1"/>
  <c r="L150" i="1"/>
  <c r="L142" i="1"/>
  <c r="L135" i="1"/>
  <c r="L129" i="1"/>
  <c r="L123" i="1"/>
  <c r="L117" i="1"/>
  <c r="L109" i="1"/>
  <c r="L98" i="1"/>
  <c r="L47" i="1"/>
  <c r="L23" i="1"/>
  <c r="L163" i="1"/>
  <c r="L136" i="1"/>
  <c r="L159" i="1"/>
  <c r="L161" i="1"/>
  <c r="L106" i="1"/>
  <c r="L100" i="1"/>
  <c r="L162" i="1"/>
  <c r="L111" i="1"/>
  <c r="L107" i="1"/>
  <c r="L99" i="1"/>
  <c r="L277" i="1"/>
  <c r="L266" i="1"/>
  <c r="L256" i="1"/>
  <c r="L243" i="1"/>
  <c r="L234" i="1"/>
  <c r="L226" i="1"/>
  <c r="L220" i="1"/>
  <c r="L205" i="1"/>
  <c r="L199" i="1"/>
  <c r="L188" i="1"/>
  <c r="L183" i="1"/>
  <c r="L180" i="1"/>
  <c r="L177" i="1"/>
  <c r="L171" i="1"/>
  <c r="L168" i="1"/>
  <c r="L165" i="1"/>
  <c r="L157" i="1"/>
  <c r="L152" i="1"/>
  <c r="L147" i="1"/>
  <c r="L144" i="1"/>
  <c r="L141" i="1"/>
  <c r="L138" i="1"/>
  <c r="L134" i="1"/>
  <c r="L131" i="1"/>
  <c r="L128" i="1"/>
  <c r="L125" i="1"/>
  <c r="L122" i="1"/>
  <c r="L119" i="1"/>
  <c r="L116" i="1"/>
  <c r="L112" i="1"/>
  <c r="L108" i="1"/>
  <c r="L102" i="1"/>
  <c r="L97" i="1"/>
  <c r="L93" i="1"/>
  <c r="L45" i="1"/>
  <c r="L28" i="1"/>
  <c r="L21" i="1"/>
  <c r="L149" i="1"/>
  <c r="K207" i="1"/>
  <c r="I207" i="1"/>
  <c r="L270" i="1"/>
  <c r="L264" i="1"/>
  <c r="L248" i="1"/>
  <c r="L241" i="1"/>
  <c r="L232" i="1"/>
  <c r="L224" i="1"/>
  <c r="L215" i="1"/>
  <c r="L204" i="1"/>
  <c r="L197" i="1"/>
  <c r="L186" i="1"/>
  <c r="L182" i="1"/>
  <c r="L179" i="1"/>
  <c r="L173" i="1"/>
  <c r="L170" i="1"/>
  <c r="L167" i="1"/>
  <c r="L160" i="1"/>
  <c r="L154" i="1"/>
  <c r="L151" i="1"/>
  <c r="L146" i="1"/>
  <c r="L143" i="1"/>
  <c r="L140" i="1"/>
  <c r="L137" i="1"/>
  <c r="L133" i="1"/>
  <c r="L130" i="1"/>
  <c r="L127" i="1"/>
  <c r="L124" i="1"/>
  <c r="L121" i="1"/>
  <c r="L118" i="1"/>
  <c r="L115" i="1"/>
  <c r="L110" i="1"/>
  <c r="L104" i="1"/>
  <c r="L101" i="1"/>
  <c r="L96" i="1"/>
  <c r="L59" i="1"/>
  <c r="L35" i="1"/>
  <c r="L26" i="1"/>
  <c r="L57" i="1"/>
  <c r="L175" i="1"/>
  <c r="K156" i="1"/>
  <c r="L156" i="1" s="1"/>
  <c r="J155" i="1"/>
  <c r="L155" i="1" s="1"/>
  <c r="K85" i="1"/>
  <c r="L85" i="1" s="1"/>
  <c r="K73" i="1"/>
  <c r="L73" i="1" s="1"/>
  <c r="K61" i="1"/>
  <c r="L61" i="1" s="1"/>
  <c r="K194" i="1"/>
  <c r="K77" i="1"/>
  <c r="L77" i="1" s="1"/>
  <c r="K192" i="1"/>
  <c r="J81" i="1"/>
  <c r="K81" i="1"/>
  <c r="J65" i="1"/>
  <c r="K65" i="1"/>
  <c r="K89" i="1"/>
  <c r="L89" i="1" s="1"/>
  <c r="K69" i="1"/>
  <c r="L69" i="1" s="1"/>
  <c r="K56" i="1"/>
  <c r="K87" i="1"/>
  <c r="L87" i="1" s="1"/>
  <c r="K83" i="1"/>
  <c r="L83" i="1" s="1"/>
  <c r="K75" i="1"/>
  <c r="L75" i="1" s="1"/>
  <c r="K63" i="1"/>
  <c r="L63" i="1" s="1"/>
  <c r="J207" i="1"/>
  <c r="J193" i="1"/>
  <c r="J191" i="1"/>
  <c r="J189" i="1"/>
  <c r="J92" i="1"/>
  <c r="L92" i="1" s="1"/>
  <c r="J90" i="1"/>
  <c r="L90" i="1" s="1"/>
  <c r="J88" i="1"/>
  <c r="L88" i="1" s="1"/>
  <c r="J86" i="1"/>
  <c r="L86" i="1" s="1"/>
  <c r="J84" i="1"/>
  <c r="L84" i="1" s="1"/>
  <c r="J82" i="1"/>
  <c r="L82" i="1" s="1"/>
  <c r="J80" i="1"/>
  <c r="L80" i="1" s="1"/>
  <c r="J78" i="1"/>
  <c r="L78" i="1" s="1"/>
  <c r="J76" i="1"/>
  <c r="L76" i="1" s="1"/>
  <c r="J74" i="1"/>
  <c r="L74" i="1" s="1"/>
  <c r="J72" i="1"/>
  <c r="L72" i="1" s="1"/>
  <c r="J70" i="1"/>
  <c r="L70" i="1" s="1"/>
  <c r="J68" i="1"/>
  <c r="L68" i="1" s="1"/>
  <c r="J66" i="1"/>
  <c r="L66" i="1" s="1"/>
  <c r="J64" i="1"/>
  <c r="L64" i="1" s="1"/>
  <c r="J62" i="1"/>
  <c r="L62" i="1" s="1"/>
  <c r="J60" i="1"/>
  <c r="L60" i="1" s="1"/>
  <c r="J56" i="1"/>
  <c r="K71" i="1"/>
  <c r="L71" i="1" s="1"/>
  <c r="J284" i="1"/>
  <c r="J194" i="1"/>
  <c r="J192" i="1"/>
  <c r="J190" i="1"/>
  <c r="J91" i="1"/>
  <c r="L91" i="1" s="1"/>
  <c r="J79" i="1"/>
  <c r="L79" i="1" s="1"/>
  <c r="J67" i="1"/>
  <c r="L67" i="1" s="1"/>
  <c r="K193" i="1"/>
  <c r="K191" i="1"/>
  <c r="K189" i="1"/>
  <c r="I60" i="1"/>
  <c r="I93" i="1" s="1"/>
  <c r="L284" i="1" l="1"/>
  <c r="L190" i="1"/>
  <c r="L81" i="1"/>
  <c r="L191" i="1"/>
  <c r="L189" i="1"/>
  <c r="L194" i="1"/>
  <c r="L207" i="1"/>
  <c r="L193" i="1"/>
  <c r="L56" i="1"/>
  <c r="L192" i="1"/>
  <c r="L65" i="1"/>
  <c r="I195" i="1"/>
  <c r="C36" i="7" s="1"/>
  <c r="H36" i="7" s="1"/>
  <c r="B142" i="2"/>
  <c r="D145" i="2"/>
  <c r="E49" i="1" s="1"/>
  <c r="I49" i="1" s="1"/>
  <c r="B190" i="2"/>
  <c r="F36" i="7" l="1"/>
  <c r="I36" i="7"/>
  <c r="D36" i="7"/>
  <c r="E36" i="7"/>
  <c r="G36" i="7"/>
  <c r="K49" i="1"/>
  <c r="J49" i="1"/>
  <c r="D263" i="1"/>
  <c r="D259" i="1"/>
  <c r="D253" i="1"/>
  <c r="D252" i="1"/>
  <c r="D251" i="1"/>
  <c r="D249" i="1"/>
  <c r="D244" i="1"/>
  <c r="D229" i="1"/>
  <c r="D228" i="1"/>
  <c r="D227" i="1"/>
  <c r="D217" i="1"/>
  <c r="D216" i="1"/>
  <c r="E53" i="1"/>
  <c r="I53" i="1" s="1"/>
  <c r="D51" i="1"/>
  <c r="L49" i="1" l="1"/>
  <c r="K53" i="1"/>
  <c r="J53" i="1"/>
  <c r="D136" i="2"/>
  <c r="D135" i="2"/>
  <c r="D132" i="2"/>
  <c r="D131" i="2"/>
  <c r="D130" i="2"/>
  <c r="D126" i="2"/>
  <c r="D121" i="2"/>
  <c r="D38" i="1"/>
  <c r="D42" i="1"/>
  <c r="D88" i="2"/>
  <c r="D71" i="2"/>
  <c r="D84" i="2"/>
  <c r="D82" i="2"/>
  <c r="D77" i="2"/>
  <c r="D75" i="2"/>
  <c r="D32" i="1"/>
  <c r="D31" i="1"/>
  <c r="D19" i="1"/>
  <c r="D18" i="1"/>
  <c r="D563" i="2"/>
  <c r="D564" i="2" s="1"/>
  <c r="D566" i="2"/>
  <c r="D567" i="2" s="1"/>
  <c r="E286" i="1" s="1"/>
  <c r="I286" i="1" s="1"/>
  <c r="D557" i="2"/>
  <c r="D558" i="2" s="1"/>
  <c r="E283" i="1" s="1"/>
  <c r="I283" i="1" s="1"/>
  <c r="D552" i="2"/>
  <c r="D547" i="2"/>
  <c r="D549" i="2" s="1"/>
  <c r="E280" i="1" s="1"/>
  <c r="J280" i="1" s="1"/>
  <c r="D519" i="2"/>
  <c r="D541" i="2"/>
  <c r="D540" i="2"/>
  <c r="D539" i="2"/>
  <c r="D538" i="2"/>
  <c r="D536" i="2"/>
  <c r="D534" i="2"/>
  <c r="D532" i="2"/>
  <c r="D525" i="2"/>
  <c r="D527" i="2" s="1"/>
  <c r="D509" i="2"/>
  <c r="D503" i="2"/>
  <c r="E263" i="1" s="1"/>
  <c r="I263" i="1" s="1"/>
  <c r="D500" i="2"/>
  <c r="E262" i="1" s="1"/>
  <c r="I262" i="1" s="1"/>
  <c r="D488" i="2"/>
  <c r="E259" i="1" s="1"/>
  <c r="D480" i="2"/>
  <c r="D482" i="2"/>
  <c r="B497" i="2"/>
  <c r="D492" i="2"/>
  <c r="E260" i="1" s="1"/>
  <c r="I260" i="1" s="1"/>
  <c r="D496" i="2"/>
  <c r="E261" i="1" s="1"/>
  <c r="I261" i="1" s="1"/>
  <c r="L53" i="1" l="1"/>
  <c r="D156" i="2"/>
  <c r="D152" i="2"/>
  <c r="I259" i="1"/>
  <c r="I264" i="1" s="1"/>
  <c r="C72" i="7" s="1"/>
  <c r="K259" i="1"/>
  <c r="J259" i="1"/>
  <c r="K262" i="1"/>
  <c r="J262" i="1"/>
  <c r="J263" i="1"/>
  <c r="K263" i="1"/>
  <c r="J261" i="1"/>
  <c r="K261" i="1"/>
  <c r="I267" i="1"/>
  <c r="I268" i="1" s="1"/>
  <c r="C75" i="7" s="1"/>
  <c r="K267" i="1"/>
  <c r="J267" i="1"/>
  <c r="K283" i="1"/>
  <c r="J283" i="1"/>
  <c r="J286" i="1"/>
  <c r="K286" i="1"/>
  <c r="I280" i="1"/>
  <c r="K280" i="1"/>
  <c r="L280" i="1" s="1"/>
  <c r="K260" i="1"/>
  <c r="J260" i="1"/>
  <c r="E281" i="1"/>
  <c r="I281" i="1" s="1"/>
  <c r="D529" i="2"/>
  <c r="D530" i="2" s="1"/>
  <c r="E275" i="1" s="1"/>
  <c r="I275" i="1" s="1"/>
  <c r="E274" i="1"/>
  <c r="I274" i="1" s="1"/>
  <c r="D116" i="2"/>
  <c r="D148" i="2"/>
  <c r="D159" i="2" s="1"/>
  <c r="D141" i="2"/>
  <c r="D58" i="2"/>
  <c r="D348" i="2" s="1"/>
  <c r="D351" i="2" s="1"/>
  <c r="D79" i="2"/>
  <c r="D86" i="2"/>
  <c r="D110" i="2"/>
  <c r="D543" i="2"/>
  <c r="E276" i="1" s="1"/>
  <c r="I276" i="1" s="1"/>
  <c r="L286" i="1" l="1"/>
  <c r="L261" i="1"/>
  <c r="L262" i="1"/>
  <c r="L263" i="1"/>
  <c r="L260" i="1"/>
  <c r="L259" i="1"/>
  <c r="L283" i="1"/>
  <c r="L267" i="1"/>
  <c r="E285" i="1"/>
  <c r="K275" i="1"/>
  <c r="J275" i="1"/>
  <c r="D72" i="7"/>
  <c r="H72" i="7"/>
  <c r="F72" i="7"/>
  <c r="G72" i="7"/>
  <c r="I72" i="7"/>
  <c r="E72" i="7"/>
  <c r="F75" i="7"/>
  <c r="E75" i="7"/>
  <c r="G75" i="7"/>
  <c r="H75" i="7"/>
  <c r="D75" i="7"/>
  <c r="I75" i="7"/>
  <c r="J276" i="1"/>
  <c r="K276" i="1"/>
  <c r="K274" i="1"/>
  <c r="J274" i="1"/>
  <c r="J281" i="1"/>
  <c r="K281" i="1"/>
  <c r="D483" i="2"/>
  <c r="E255" i="1" s="1"/>
  <c r="I255" i="1" s="1"/>
  <c r="D467" i="2"/>
  <c r="E253" i="1"/>
  <c r="I253" i="1" s="1"/>
  <c r="D470" i="2"/>
  <c r="D471" i="2" s="1"/>
  <c r="E252" i="1" s="1"/>
  <c r="I252" i="1" s="1"/>
  <c r="D457" i="2"/>
  <c r="D459" i="2" s="1"/>
  <c r="D463" i="2"/>
  <c r="D445" i="2"/>
  <c r="D448" i="2" s="1"/>
  <c r="D449" i="2" s="1"/>
  <c r="D444" i="2"/>
  <c r="D435" i="2"/>
  <c r="D434" i="2"/>
  <c r="D433" i="2" s="1"/>
  <c r="D341" i="2"/>
  <c r="D337" i="2"/>
  <c r="D343" i="2"/>
  <c r="D426" i="2" s="1"/>
  <c r="D340" i="2"/>
  <c r="D336" i="2"/>
  <c r="D413" i="2"/>
  <c r="E229" i="1" s="1"/>
  <c r="D407" i="2"/>
  <c r="D405" i="2"/>
  <c r="D403" i="2"/>
  <c r="D400" i="2"/>
  <c r="D399" i="2"/>
  <c r="D395" i="2"/>
  <c r="E223" i="1" s="1"/>
  <c r="D387" i="2"/>
  <c r="E219" i="1" s="1"/>
  <c r="I219" i="1" s="1"/>
  <c r="D382" i="2"/>
  <c r="D364" i="2"/>
  <c r="D373" i="2" s="1"/>
  <c r="D363" i="2"/>
  <c r="D371" i="2"/>
  <c r="D368" i="2"/>
  <c r="E212" i="1" s="1"/>
  <c r="D355" i="2"/>
  <c r="E203" i="1" s="1"/>
  <c r="E202" i="1"/>
  <c r="L276" i="1" l="1"/>
  <c r="L281" i="1"/>
  <c r="J285" i="1"/>
  <c r="I285" i="1"/>
  <c r="K212" i="1"/>
  <c r="J212" i="1"/>
  <c r="I212" i="1"/>
  <c r="L274" i="1"/>
  <c r="L275" i="1"/>
  <c r="K285" i="1"/>
  <c r="I202" i="1"/>
  <c r="J202" i="1"/>
  <c r="K202" i="1"/>
  <c r="I229" i="1"/>
  <c r="K229" i="1"/>
  <c r="J229" i="1"/>
  <c r="J252" i="1"/>
  <c r="K252" i="1"/>
  <c r="K253" i="1"/>
  <c r="J253" i="1"/>
  <c r="I223" i="1"/>
  <c r="I224" i="1" s="1"/>
  <c r="C54" i="7" s="1"/>
  <c r="K223" i="1"/>
  <c r="J223" i="1"/>
  <c r="K219" i="1"/>
  <c r="J219" i="1"/>
  <c r="I203" i="1"/>
  <c r="K203" i="1"/>
  <c r="J203" i="1"/>
  <c r="K255" i="1"/>
  <c r="J255" i="1"/>
  <c r="D436" i="2"/>
  <c r="D439" i="2" s="1"/>
  <c r="D440" i="2" s="1"/>
  <c r="E240" i="1" s="1"/>
  <c r="I240" i="1" s="1"/>
  <c r="D518" i="2"/>
  <c r="E245" i="1"/>
  <c r="D453" i="2"/>
  <c r="D455" i="2" s="1"/>
  <c r="E249" i="1" s="1"/>
  <c r="E250" i="1"/>
  <c r="I250" i="1" s="1"/>
  <c r="D468" i="2"/>
  <c r="D446" i="2"/>
  <c r="E244" i="1" s="1"/>
  <c r="D338" i="2"/>
  <c r="D513" i="2" s="1"/>
  <c r="D514" i="2" s="1"/>
  <c r="E271" i="1" s="1"/>
  <c r="D401" i="2"/>
  <c r="E227" i="1" s="1"/>
  <c r="D342" i="2"/>
  <c r="D424" i="2" s="1"/>
  <c r="D409" i="2"/>
  <c r="D365" i="2"/>
  <c r="E211" i="1" s="1"/>
  <c r="D372" i="2"/>
  <c r="D374" i="2" s="1"/>
  <c r="E216" i="1" s="1"/>
  <c r="D376" i="2"/>
  <c r="L285" i="1" l="1"/>
  <c r="L252" i="1"/>
  <c r="L203" i="1"/>
  <c r="L229" i="1"/>
  <c r="L202" i="1"/>
  <c r="J216" i="1"/>
  <c r="K216" i="1"/>
  <c r="L253" i="1"/>
  <c r="L255" i="1"/>
  <c r="K211" i="1"/>
  <c r="J211" i="1"/>
  <c r="I211" i="1"/>
  <c r="L219" i="1"/>
  <c r="L223" i="1"/>
  <c r="L212" i="1"/>
  <c r="I204" i="1"/>
  <c r="C42" i="7" s="1"/>
  <c r="H42" i="7" s="1"/>
  <c r="D54" i="7"/>
  <c r="H54" i="7"/>
  <c r="E54" i="7"/>
  <c r="I54" i="7"/>
  <c r="G54" i="7"/>
  <c r="F54" i="7"/>
  <c r="I216" i="1"/>
  <c r="J240" i="1"/>
  <c r="K240" i="1"/>
  <c r="I249" i="1"/>
  <c r="K249" i="1"/>
  <c r="J249" i="1"/>
  <c r="I245" i="1"/>
  <c r="J245" i="1"/>
  <c r="K245" i="1"/>
  <c r="K250" i="1"/>
  <c r="J250" i="1"/>
  <c r="I271" i="1"/>
  <c r="K271" i="1"/>
  <c r="J271" i="1"/>
  <c r="I227" i="1"/>
  <c r="K227" i="1"/>
  <c r="J227" i="1"/>
  <c r="I244" i="1"/>
  <c r="K244" i="1"/>
  <c r="J244" i="1"/>
  <c r="D517" i="2"/>
  <c r="D417" i="2"/>
  <c r="D418" i="2" s="1"/>
  <c r="E233" i="1" s="1"/>
  <c r="E228" i="1"/>
  <c r="D477" i="2"/>
  <c r="D478" i="2" s="1"/>
  <c r="E254" i="1" s="1"/>
  <c r="I254" i="1" s="1"/>
  <c r="E251" i="1"/>
  <c r="I251" i="1" s="1"/>
  <c r="D344" i="2"/>
  <c r="E198" i="1" s="1"/>
  <c r="I198" i="1" s="1"/>
  <c r="D422" i="2"/>
  <c r="D427" i="2" s="1"/>
  <c r="D379" i="2"/>
  <c r="D383" i="2" s="1"/>
  <c r="E218" i="1" s="1"/>
  <c r="I218" i="1" s="1"/>
  <c r="D377" i="2"/>
  <c r="E217" i="1" s="1"/>
  <c r="D108" i="2"/>
  <c r="D106" i="2"/>
  <c r="D101" i="2"/>
  <c r="D99" i="2"/>
  <c r="D95" i="2"/>
  <c r="D93" i="2"/>
  <c r="D91" i="2"/>
  <c r="E38" i="1"/>
  <c r="I38" i="1" s="1"/>
  <c r="E37" i="1"/>
  <c r="I37" i="1" s="1"/>
  <c r="D72" i="2"/>
  <c r="D59" i="2"/>
  <c r="D54" i="2"/>
  <c r="B41" i="2"/>
  <c r="B37" i="2"/>
  <c r="B43" i="2" s="1"/>
  <c r="B47" i="2" s="1"/>
  <c r="B62" i="2" s="1"/>
  <c r="B57" i="2"/>
  <c r="D27" i="2"/>
  <c r="E17" i="1" s="1"/>
  <c r="I17" i="1" s="1"/>
  <c r="D23" i="2"/>
  <c r="E16" i="1" s="1"/>
  <c r="I16" i="1" s="1"/>
  <c r="E54" i="1"/>
  <c r="I54" i="1" s="1"/>
  <c r="E52" i="1"/>
  <c r="I52" i="1" s="1"/>
  <c r="E51" i="1"/>
  <c r="I51" i="1" s="1"/>
  <c r="E50" i="1"/>
  <c r="I50" i="1" s="1"/>
  <c r="E48" i="1"/>
  <c r="A1" i="2"/>
  <c r="B4" i="2"/>
  <c r="B5" i="2"/>
  <c r="B6" i="2"/>
  <c r="B7" i="2"/>
  <c r="B9" i="2"/>
  <c r="B3" i="2"/>
  <c r="A4" i="2"/>
  <c r="A5" i="2"/>
  <c r="A6" i="2"/>
  <c r="A7" i="2"/>
  <c r="A9" i="2"/>
  <c r="A3" i="2"/>
  <c r="A13" i="7"/>
  <c r="A16" i="7" s="1"/>
  <c r="A19" i="7" s="1"/>
  <c r="A22" i="7" s="1"/>
  <c r="A25" i="7" s="1"/>
  <c r="A28" i="7" s="1"/>
  <c r="A31" i="7" s="1"/>
  <c r="A34" i="7" s="1"/>
  <c r="A37" i="7" s="1"/>
  <c r="A40" i="7" s="1"/>
  <c r="A43" i="7" s="1"/>
  <c r="A46" i="7" s="1"/>
  <c r="A49" i="7" s="1"/>
  <c r="A52" i="7" s="1"/>
  <c r="A55" i="7" s="1"/>
  <c r="A58" i="7" s="1"/>
  <c r="A61" i="7" s="1"/>
  <c r="A64" i="7" s="1"/>
  <c r="A67" i="7" s="1"/>
  <c r="A70" i="7" s="1"/>
  <c r="A73" i="7" s="1"/>
  <c r="A76" i="7" s="1"/>
  <c r="A79" i="7" s="1"/>
  <c r="L244" i="1" l="1"/>
  <c r="L245" i="1"/>
  <c r="L216" i="1"/>
  <c r="L271" i="1"/>
  <c r="L211" i="1"/>
  <c r="L240" i="1"/>
  <c r="I217" i="1"/>
  <c r="K217" i="1"/>
  <c r="J217" i="1"/>
  <c r="L249" i="1"/>
  <c r="K16" i="1"/>
  <c r="J16" i="1"/>
  <c r="L227" i="1"/>
  <c r="L250" i="1"/>
  <c r="D104" i="2"/>
  <c r="E40" i="1" s="1"/>
  <c r="I40" i="1" s="1"/>
  <c r="G42" i="7"/>
  <c r="D42" i="7"/>
  <c r="I42" i="7"/>
  <c r="E42" i="7"/>
  <c r="F42" i="7"/>
  <c r="K52" i="1"/>
  <c r="J52" i="1"/>
  <c r="J218" i="1"/>
  <c r="K218" i="1"/>
  <c r="I48" i="1"/>
  <c r="K48" i="1"/>
  <c r="J48" i="1"/>
  <c r="K54" i="1"/>
  <c r="J54" i="1"/>
  <c r="I228" i="1"/>
  <c r="I230" i="1" s="1"/>
  <c r="C57" i="7" s="1"/>
  <c r="J228" i="1"/>
  <c r="K228" i="1"/>
  <c r="J51" i="1"/>
  <c r="K51" i="1"/>
  <c r="J17" i="1"/>
  <c r="K17" i="1"/>
  <c r="J38" i="1"/>
  <c r="K38" i="1"/>
  <c r="K251" i="1"/>
  <c r="J251" i="1"/>
  <c r="J254" i="1"/>
  <c r="K254" i="1"/>
  <c r="L254" i="1" s="1"/>
  <c r="K50" i="1"/>
  <c r="J50" i="1"/>
  <c r="J55" i="1"/>
  <c r="K55" i="1"/>
  <c r="K37" i="1"/>
  <c r="J37" i="1"/>
  <c r="K198" i="1"/>
  <c r="J198" i="1"/>
  <c r="I233" i="1"/>
  <c r="K233" i="1"/>
  <c r="J233" i="1"/>
  <c r="D429" i="2"/>
  <c r="D430" i="2" s="1"/>
  <c r="E237" i="1"/>
  <c r="D60" i="2"/>
  <c r="E30" i="1" s="1"/>
  <c r="I30" i="1" s="1"/>
  <c r="E36" i="1"/>
  <c r="E42" i="1"/>
  <c r="I42" i="1" s="1"/>
  <c r="E44" i="1"/>
  <c r="I44" i="1" s="1"/>
  <c r="E43" i="1"/>
  <c r="I43" i="1" s="1"/>
  <c r="D97" i="2"/>
  <c r="E39" i="1" s="1"/>
  <c r="I39" i="1" s="1"/>
  <c r="D37" i="2"/>
  <c r="D38" i="2" s="1"/>
  <c r="D554" i="2"/>
  <c r="D555" i="2" s="1"/>
  <c r="D111" i="2"/>
  <c r="E41" i="1" s="1"/>
  <c r="I41" i="1" s="1"/>
  <c r="D43" i="2"/>
  <c r="D44" i="2" s="1"/>
  <c r="E24" i="1" s="1"/>
  <c r="D30" i="2"/>
  <c r="D31" i="2" s="1"/>
  <c r="E18" i="1" s="1"/>
  <c r="I18" i="1" s="1"/>
  <c r="D34" i="2"/>
  <c r="D16" i="2"/>
  <c r="E14" i="1" s="1"/>
  <c r="G105" i="2"/>
  <c r="L228" i="1" l="1"/>
  <c r="L51" i="1"/>
  <c r="L38" i="1"/>
  <c r="L16" i="1"/>
  <c r="L50" i="1"/>
  <c r="L52" i="1"/>
  <c r="L251" i="1"/>
  <c r="L54" i="1"/>
  <c r="L37" i="1"/>
  <c r="L48" i="1"/>
  <c r="J14" i="1"/>
  <c r="K14" i="1"/>
  <c r="L233" i="1"/>
  <c r="L217" i="1"/>
  <c r="L198" i="1"/>
  <c r="L55" i="1"/>
  <c r="L17" i="1"/>
  <c r="L218" i="1"/>
  <c r="F57" i="7"/>
  <c r="G57" i="7"/>
  <c r="I57" i="7"/>
  <c r="D57" i="7"/>
  <c r="E57" i="7"/>
  <c r="H57" i="7"/>
  <c r="K40" i="1"/>
  <c r="J40" i="1"/>
  <c r="K43" i="1"/>
  <c r="J43" i="1"/>
  <c r="K30" i="1"/>
  <c r="J30" i="1"/>
  <c r="K18" i="1"/>
  <c r="J18" i="1"/>
  <c r="J44" i="1"/>
  <c r="K44" i="1"/>
  <c r="I237" i="1"/>
  <c r="K237" i="1"/>
  <c r="J237" i="1"/>
  <c r="I14" i="1"/>
  <c r="J42" i="1"/>
  <c r="K42" i="1"/>
  <c r="K41" i="1"/>
  <c r="J41" i="1"/>
  <c r="K39" i="1"/>
  <c r="J39" i="1"/>
  <c r="I36" i="1"/>
  <c r="J36" i="1"/>
  <c r="K36" i="1"/>
  <c r="I24" i="1"/>
  <c r="K24" i="1"/>
  <c r="J24" i="1"/>
  <c r="E282" i="1"/>
  <c r="D432" i="2"/>
  <c r="D437" i="2" s="1"/>
  <c r="E238" i="1"/>
  <c r="I238" i="1" s="1"/>
  <c r="D62" i="2"/>
  <c r="D63" i="2" s="1"/>
  <c r="E31" i="1" s="1"/>
  <c r="I31" i="1" s="1"/>
  <c r="E20" i="1"/>
  <c r="I20" i="1" s="1"/>
  <c r="D52" i="2"/>
  <c r="D56" i="2" s="1"/>
  <c r="E29" i="1" s="1"/>
  <c r="D65" i="2"/>
  <c r="D66" i="2" s="1"/>
  <c r="E32" i="1" s="1"/>
  <c r="I32" i="1" s="1"/>
  <c r="D47" i="2"/>
  <c r="D48" i="2" s="1"/>
  <c r="E25" i="1" s="1"/>
  <c r="D35" i="2"/>
  <c r="E19" i="1" s="1"/>
  <c r="I19" i="1" s="1"/>
  <c r="L44" i="1" l="1"/>
  <c r="L36" i="1"/>
  <c r="I282" i="1"/>
  <c r="I287" i="1" s="1"/>
  <c r="C81" i="7" s="1"/>
  <c r="L18" i="1"/>
  <c r="L42" i="1"/>
  <c r="L237" i="1"/>
  <c r="L40" i="1"/>
  <c r="L24" i="1"/>
  <c r="L39" i="1"/>
  <c r="L14" i="1"/>
  <c r="L30" i="1"/>
  <c r="L41" i="1"/>
  <c r="L43" i="1"/>
  <c r="I45" i="1"/>
  <c r="C24" i="7" s="1"/>
  <c r="I24" i="7" s="1"/>
  <c r="J282" i="1"/>
  <c r="K282" i="1"/>
  <c r="J19" i="1"/>
  <c r="K19" i="1"/>
  <c r="K20" i="1"/>
  <c r="J20" i="1"/>
  <c r="K31" i="1"/>
  <c r="J31" i="1"/>
  <c r="K32" i="1"/>
  <c r="J32" i="1"/>
  <c r="I25" i="1"/>
  <c r="I26" i="1" s="1"/>
  <c r="C18" i="7" s="1"/>
  <c r="K25" i="1"/>
  <c r="J25" i="1"/>
  <c r="I29" i="1"/>
  <c r="J29" i="1"/>
  <c r="K29" i="1"/>
  <c r="J238" i="1"/>
  <c r="K238" i="1"/>
  <c r="D516" i="2"/>
  <c r="D520" i="2" s="1"/>
  <c r="E272" i="1" s="1"/>
  <c r="I272" i="1" s="1"/>
  <c r="E239" i="1"/>
  <c r="I239" i="1" s="1"/>
  <c r="L238" i="1" l="1"/>
  <c r="H81" i="7"/>
  <c r="D81" i="7"/>
  <c r="E81" i="7"/>
  <c r="G81" i="7"/>
  <c r="I81" i="7"/>
  <c r="F81" i="7"/>
  <c r="L25" i="1"/>
  <c r="L29" i="1"/>
  <c r="L282" i="1"/>
  <c r="L20" i="1"/>
  <c r="L31" i="1"/>
  <c r="L32" i="1"/>
  <c r="L19" i="1"/>
  <c r="E24" i="7"/>
  <c r="H24" i="7"/>
  <c r="F24" i="7"/>
  <c r="I33" i="1"/>
  <c r="C21" i="7" s="1"/>
  <c r="H21" i="7" s="1"/>
  <c r="G24" i="7"/>
  <c r="D24" i="7"/>
  <c r="F18" i="7"/>
  <c r="D18" i="7"/>
  <c r="G18" i="7"/>
  <c r="H18" i="7"/>
  <c r="I18" i="7"/>
  <c r="E18" i="7"/>
  <c r="K239" i="1"/>
  <c r="J239" i="1"/>
  <c r="K272" i="1"/>
  <c r="J272" i="1"/>
  <c r="D522" i="2"/>
  <c r="D523" i="2" s="1"/>
  <c r="E273" i="1" s="1"/>
  <c r="I273" i="1" s="1"/>
  <c r="H98" i="2"/>
  <c r="I106" i="2"/>
  <c r="I105" i="2"/>
  <c r="L239" i="1" l="1"/>
  <c r="L272" i="1"/>
  <c r="I21" i="7"/>
  <c r="E21" i="7"/>
  <c r="G21" i="7"/>
  <c r="D21" i="7"/>
  <c r="F21" i="7"/>
  <c r="I277" i="1"/>
  <c r="C78" i="7" s="1"/>
  <c r="J273" i="1"/>
  <c r="K273" i="1"/>
  <c r="L273" i="1" l="1"/>
  <c r="I289" i="1"/>
  <c r="D78" i="7"/>
  <c r="H78" i="7"/>
  <c r="E78" i="7"/>
  <c r="F78" i="7"/>
  <c r="G78" i="7"/>
  <c r="I78" i="7"/>
  <c r="C30" i="7"/>
  <c r="I30" i="7" l="1"/>
  <c r="E30" i="7"/>
  <c r="H30" i="7"/>
  <c r="F30" i="7"/>
  <c r="G30" i="7"/>
  <c r="D30" i="7"/>
  <c r="I57" i="1" l="1"/>
  <c r="C27" i="7" s="1"/>
  <c r="D27" i="7" l="1"/>
  <c r="H27" i="7"/>
  <c r="I27" i="7"/>
  <c r="E27" i="7"/>
  <c r="F27" i="7"/>
  <c r="G27" i="7"/>
  <c r="B366" i="2"/>
  <c r="B362" i="2" l="1"/>
  <c r="I213" i="1" l="1"/>
  <c r="C48" i="7" s="1"/>
  <c r="D48" i="7" l="1"/>
  <c r="H48" i="7"/>
  <c r="E48" i="7"/>
  <c r="I48" i="7"/>
  <c r="F48" i="7"/>
  <c r="G48" i="7"/>
  <c r="I186" i="1"/>
  <c r="C33" i="7" s="1"/>
  <c r="D33" i="7" l="1"/>
  <c r="I33" i="7"/>
  <c r="E33" i="7"/>
  <c r="H33" i="7"/>
  <c r="F33" i="7"/>
  <c r="G33" i="7"/>
  <c r="D283" i="1"/>
  <c r="D284" i="1"/>
  <c r="D281" i="1" s="1"/>
  <c r="D285" i="1"/>
  <c r="D286" i="1"/>
  <c r="A546" i="2"/>
  <c r="I256" i="1" l="1"/>
  <c r="C69" i="7" s="1"/>
  <c r="F69" i="7" l="1"/>
  <c r="G69" i="7"/>
  <c r="H69" i="7"/>
  <c r="D69" i="7"/>
  <c r="I69" i="7"/>
  <c r="E69" i="7"/>
  <c r="B476" i="2"/>
  <c r="B479" i="2"/>
  <c r="A515" i="2" l="1"/>
  <c r="B521" i="2"/>
  <c r="A512" i="2"/>
  <c r="A489" i="2" l="1"/>
  <c r="B489" i="2"/>
  <c r="A493" i="2"/>
  <c r="B493" i="2"/>
  <c r="A497" i="2"/>
  <c r="A486" i="2"/>
  <c r="A447" i="2"/>
  <c r="B447" i="2"/>
  <c r="A443" i="2"/>
  <c r="B416" i="2"/>
  <c r="A416" i="2"/>
  <c r="I246" i="1" l="1"/>
  <c r="C66" i="7" s="1"/>
  <c r="D66" i="7" l="1"/>
  <c r="H66" i="7"/>
  <c r="E66" i="7"/>
  <c r="G66" i="7"/>
  <c r="I66" i="7"/>
  <c r="F66" i="7"/>
  <c r="B390" i="2"/>
  <c r="A390" i="2"/>
  <c r="I234" i="1" l="1"/>
  <c r="C60" i="7" s="1"/>
  <c r="D60" i="7" l="1"/>
  <c r="H60" i="7"/>
  <c r="E60" i="7"/>
  <c r="I60" i="7"/>
  <c r="F60" i="7"/>
  <c r="G60" i="7"/>
  <c r="A428" i="2"/>
  <c r="B428" i="2"/>
  <c r="A431" i="2"/>
  <c r="B431" i="2"/>
  <c r="B438" i="2"/>
  <c r="B421" i="2"/>
  <c r="A421" i="2"/>
  <c r="B384" i="2" l="1"/>
  <c r="A371" i="2"/>
  <c r="B169" i="2" l="1"/>
  <c r="A169" i="2"/>
  <c r="B347" i="2"/>
  <c r="B352" i="2"/>
  <c r="B146" i="2"/>
  <c r="B175" i="2"/>
  <c r="B182" i="2"/>
  <c r="B193" i="2"/>
  <c r="A146" i="2"/>
  <c r="A160" i="2"/>
  <c r="A175" i="2"/>
  <c r="B129" i="2"/>
  <c r="A129" i="2"/>
  <c r="B87" i="2" l="1"/>
  <c r="A87" i="2"/>
  <c r="B122" i="2"/>
  <c r="A122" i="2"/>
  <c r="B117" i="2"/>
  <c r="A117" i="2"/>
  <c r="B327" i="2" l="1"/>
  <c r="B328" i="2"/>
  <c r="B329" i="2"/>
  <c r="B330" i="2"/>
  <c r="B331" i="2"/>
  <c r="B326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198" i="2"/>
  <c r="I199" i="1" l="1"/>
  <c r="C39" i="7" s="1"/>
  <c r="F39" i="7" l="1"/>
  <c r="G39" i="7"/>
  <c r="E39" i="7"/>
  <c r="H39" i="7"/>
  <c r="I39" i="7"/>
  <c r="D39" i="7"/>
  <c r="B73" i="2"/>
  <c r="B98" i="2"/>
  <c r="B105" i="2"/>
  <c r="A73" i="2"/>
  <c r="A80" i="2"/>
  <c r="A98" i="2"/>
  <c r="A105" i="2"/>
  <c r="A112" i="2"/>
  <c r="B69" i="2"/>
  <c r="A69" i="2"/>
  <c r="I241" i="1" l="1"/>
  <c r="C63" i="7" s="1"/>
  <c r="A61" i="2"/>
  <c r="A64" i="2"/>
  <c r="B51" i="2"/>
  <c r="A17" i="2"/>
  <c r="B17" i="2"/>
  <c r="B20" i="2"/>
  <c r="B24" i="2"/>
  <c r="B13" i="2"/>
  <c r="A13" i="2"/>
  <c r="F63" i="7" l="1"/>
  <c r="G63" i="7"/>
  <c r="E63" i="7"/>
  <c r="H63" i="7"/>
  <c r="I63" i="7"/>
  <c r="D63" i="7"/>
  <c r="I21" i="1"/>
  <c r="C15" i="7" l="1"/>
  <c r="D15" i="7" s="1"/>
  <c r="I220" i="1"/>
  <c r="I291" i="1" s="1"/>
  <c r="I290" i="1" s="1"/>
  <c r="I208" i="1"/>
  <c r="C45" i="7" s="1"/>
  <c r="F15" i="7" l="1"/>
  <c r="I15" i="7"/>
  <c r="E15" i="7"/>
  <c r="G15" i="7"/>
  <c r="H15" i="7"/>
  <c r="F45" i="7"/>
  <c r="G45" i="7"/>
  <c r="I45" i="7"/>
  <c r="D45" i="7"/>
  <c r="E45" i="7"/>
  <c r="H45" i="7"/>
  <c r="I292" i="1"/>
  <c r="I293" i="1" s="1"/>
  <c r="I86" i="7" s="1"/>
  <c r="C51" i="7"/>
  <c r="C22" i="7" l="1"/>
  <c r="C79" i="7"/>
  <c r="C31" i="7"/>
  <c r="C19" i="7"/>
  <c r="F51" i="7"/>
  <c r="F85" i="7" s="1"/>
  <c r="F83" i="7" s="1"/>
  <c r="G51" i="7"/>
  <c r="G85" i="7" s="1"/>
  <c r="G83" i="7" s="1"/>
  <c r="E51" i="7"/>
  <c r="E85" i="7" s="1"/>
  <c r="E83" i="7" s="1"/>
  <c r="H51" i="7"/>
  <c r="H85" i="7" s="1"/>
  <c r="H83" i="7" s="1"/>
  <c r="I51" i="7"/>
  <c r="I85" i="7" s="1"/>
  <c r="D51" i="7"/>
  <c r="D85" i="7" s="1"/>
  <c r="C49" i="7"/>
  <c r="C16" i="7"/>
  <c r="C67" i="7"/>
  <c r="C73" i="7"/>
  <c r="C13" i="7"/>
  <c r="C46" i="7"/>
  <c r="C55" i="7"/>
  <c r="C25" i="7"/>
  <c r="C40" i="7"/>
  <c r="C61" i="7"/>
  <c r="C76" i="7"/>
  <c r="C37" i="7"/>
  <c r="C43" i="7"/>
  <c r="C58" i="7"/>
  <c r="C70" i="7"/>
  <c r="C34" i="7"/>
  <c r="C64" i="7"/>
  <c r="C28" i="7"/>
  <c r="C52" i="7"/>
  <c r="D86" i="7" l="1"/>
  <c r="E86" i="7" s="1"/>
  <c r="F86" i="7" s="1"/>
  <c r="G86" i="7" s="1"/>
  <c r="H86" i="7" s="1"/>
  <c r="D83" i="7"/>
  <c r="D84" i="7" s="1"/>
  <c r="E84" i="7" s="1"/>
  <c r="F84" i="7" s="1"/>
  <c r="G84" i="7" s="1"/>
  <c r="H84" i="7" s="1"/>
  <c r="I84" i="7" s="1"/>
</calcChain>
</file>

<file path=xl/sharedStrings.xml><?xml version="1.0" encoding="utf-8"?>
<sst xmlns="http://schemas.openxmlformats.org/spreadsheetml/2006/main" count="2219" uniqueCount="790">
  <si>
    <t>PREFEITURA MUNICIPAL DE CATALÃO</t>
  </si>
  <si>
    <t>SECRETARIA MUNICIPAL DE OBRAS</t>
  </si>
  <si>
    <t>ITEM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</si>
  <si>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</si>
  <si>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</si>
  <si>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</si>
  <si>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</si>
  <si>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</si>
  <si>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</si>
  <si>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</si>
  <si>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SERVIÇOS PRELIMINARES</t>
  </si>
  <si>
    <t>1.1</t>
  </si>
  <si>
    <t xml:space="preserve"> m2 </t>
  </si>
  <si>
    <t>1.2</t>
  </si>
  <si>
    <t>1.3</t>
  </si>
  <si>
    <t xml:space="preserve">m2 </t>
  </si>
  <si>
    <t>1.4</t>
  </si>
  <si>
    <t>1.5</t>
  </si>
  <si>
    <t>TRANSPORTES</t>
  </si>
  <si>
    <t>2.1</t>
  </si>
  <si>
    <t>SERVICO EM TERRA</t>
  </si>
  <si>
    <t xml:space="preserve">GOINFRA </t>
  </si>
  <si>
    <t>FUNDACOES E SONDAGENS</t>
  </si>
  <si>
    <t>ESTRUTURA</t>
  </si>
  <si>
    <t>INST. ELET./TELEFONICA/CABEAMENTO ESTRUTURADO</t>
  </si>
  <si>
    <t xml:space="preserve">m </t>
  </si>
  <si>
    <t>INSTALAÇÕES HIDROSSANITÁRIAS</t>
  </si>
  <si>
    <t>ALVENARIAS E DIVISORIAS</t>
  </si>
  <si>
    <t>IMPERMEABILIZACAO</t>
  </si>
  <si>
    <t>GRUPO DE SERVIÇO: 176- ESTRUTURA DE MADEIRA</t>
  </si>
  <si>
    <t>ESTRUTURA DE MADEIRA</t>
  </si>
  <si>
    <t>ESTRUTURAS METALICAS</t>
  </si>
  <si>
    <t>COBERTURAS</t>
  </si>
  <si>
    <t xml:space="preserve">ESQUADRIAS DE MADEIRA </t>
  </si>
  <si>
    <t>ESQUADRIAS METÁLICAS</t>
  </si>
  <si>
    <t>VIDROS</t>
  </si>
  <si>
    <t>REVESTIMENTO DE PAREDES</t>
  </si>
  <si>
    <t>FORROS</t>
  </si>
  <si>
    <t>REVESTIMENTO DE PISO</t>
  </si>
  <si>
    <t>FERRAGENS</t>
  </si>
  <si>
    <t>ADMINISTRAÇÃO - MENSALISTAS</t>
  </si>
  <si>
    <t>PINTURA</t>
  </si>
  <si>
    <t>DIVERSOS</t>
  </si>
  <si>
    <t>TOTAL</t>
  </si>
  <si>
    <t xml:space="preserve"> LIMPEZA MECANICA DE TERRENO </t>
  </si>
  <si>
    <t>SINAPI</t>
  </si>
  <si>
    <t>LOCACAO DE CONTAINER 2,30 X 6,00 M, ALT. 2,50 M, PARA ESCRITORIO, SEM DIVISORIAS INTERNAS E SEM SANITARIO</t>
  </si>
  <si>
    <t xml:space="preserve"> LOCAÇÃO DA OBRA, EXECUÇÃO DE GABARITO SEM REAPROVEITAMENTO, INCLUSO PINTURA (FACE INTERNA DO RIPÃO 15CM) E PIQUETE COM TESTEMUNHA </t>
  </si>
  <si>
    <t xml:space="preserve">PLACA DE OBRA PLOTADA EM CHAPA METÁLICA 26 , AFIXADA EM CAVALETES DE MADEIRA DE LEI (VIGOTAS 6X12CM) - PADRÃO GOINFRA </t>
  </si>
  <si>
    <t>1.6</t>
  </si>
  <si>
    <t>1.7</t>
  </si>
  <si>
    <t>Quantidade</t>
  </si>
  <si>
    <t>Duração da obra</t>
  </si>
  <si>
    <t>Meses</t>
  </si>
  <si>
    <t>Comprimento</t>
  </si>
  <si>
    <t xml:space="preserve">m3 </t>
  </si>
  <si>
    <t xml:space="preserve">ESCAVACAO MANUAL DE VALAS &lt; 1 MTS. (OBRAS CIVIS) </t>
  </si>
  <si>
    <t>3.1</t>
  </si>
  <si>
    <t>3.2</t>
  </si>
  <si>
    <t>3.3</t>
  </si>
  <si>
    <t>3.4</t>
  </si>
  <si>
    <t>Largura</t>
  </si>
  <si>
    <t>Altura</t>
  </si>
  <si>
    <t xml:space="preserve">ESTACA A TRADO DIAM.30 CM SEM FERRO </t>
  </si>
  <si>
    <t xml:space="preserve">ESCAVACAO MANUAL DE VALAS (SAPATAS/BLOCOS) </t>
  </si>
  <si>
    <t xml:space="preserve">PREPARO COM BETONEIRA E TRANSPORTE MANUAL DE CONCRETO FCK-20 - (O.C.) </t>
  </si>
  <si>
    <t>m3</t>
  </si>
  <si>
    <t xml:space="preserve">LANÇAMENTO/APLICAÇÃO/ADENSAMENTO DE CONCRETO EM FUNDAÇÃO- (O.C.) </t>
  </si>
  <si>
    <t xml:space="preserve">Kg </t>
  </si>
  <si>
    <t>ACO CA-50A - 10,0 MM (3/8") - (OBRAS CIVIS)</t>
  </si>
  <si>
    <t xml:space="preserve"> Kg </t>
  </si>
  <si>
    <t>4.1</t>
  </si>
  <si>
    <t>4.2</t>
  </si>
  <si>
    <t>4.3</t>
  </si>
  <si>
    <t>4.4</t>
  </si>
  <si>
    <t>4.5</t>
  </si>
  <si>
    <t>4.6</t>
  </si>
  <si>
    <t>4.7</t>
  </si>
  <si>
    <t>LUMINÁRIA DE EMBUTIR COM REFLETOR DE ALUMÍNIO E ALETAS 2X28W - INCLUSO CORTE NO FORRO</t>
  </si>
  <si>
    <t>6.1</t>
  </si>
  <si>
    <t>6.2</t>
  </si>
  <si>
    <t>6.6</t>
  </si>
  <si>
    <t>6.7</t>
  </si>
  <si>
    <t>6.3</t>
  </si>
  <si>
    <t>6.4</t>
  </si>
  <si>
    <t>6.5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</si>
  <si>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</si>
  <si>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</si>
  <si>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</si>
  <si>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</si>
  <si>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</si>
  <si>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</si>
  <si>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</si>
  <si>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</si>
  <si>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</si>
  <si>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</si>
  <si>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</si>
  <si>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</si>
  <si>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</si>
  <si>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</si>
  <si>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</si>
  <si>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</si>
  <si>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</si>
  <si>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</si>
  <si>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</si>
  <si>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</si>
  <si>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</si>
  <si>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</si>
  <si>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</si>
  <si>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</si>
  <si>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</si>
  <si>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</si>
  <si>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E S G O T O S A N I T A R I O</t>
  </si>
  <si>
    <t>B U C H A S</t>
  </si>
  <si>
    <t>C O R P O DE C A I X A S I F O N A D A/R A L O</t>
  </si>
  <si>
    <t xml:space="preserve">CORPO CX. SIFONADA DIAM. 100 X 150 X 50 </t>
  </si>
  <si>
    <t xml:space="preserve">CORPO RALO SIFONADO CILINDRICO 100 X 40 </t>
  </si>
  <si>
    <t>D I V E R S O S</t>
  </si>
  <si>
    <t>J O E L H O S</t>
  </si>
  <si>
    <t xml:space="preserve">JOELHO 90 GRAUS C/ANEL 40 mm </t>
  </si>
  <si>
    <t xml:space="preserve">JOELHO 90 GRAUS DIAMETRO 40 MM </t>
  </si>
  <si>
    <t xml:space="preserve">JOELHO 90 GRAUS DIAMETRO 75 MM </t>
  </si>
  <si>
    <t xml:space="preserve">JOELHO 90 GRAUS DIAMETRO 50 MM </t>
  </si>
  <si>
    <t>J U N C O E S</t>
  </si>
  <si>
    <t xml:space="preserve">JUNCAO SIMPLES DIAM. 100 X 50 MM </t>
  </si>
  <si>
    <t>T E</t>
  </si>
  <si>
    <t xml:space="preserve">TE SANITARIO DIAMETRO 50 X 50 MM </t>
  </si>
  <si>
    <t>T U B O S</t>
  </si>
  <si>
    <t xml:space="preserve">TUBO SOLD.P/ESGOTO DIAM. 40 MM </t>
  </si>
  <si>
    <t xml:space="preserve"> TUBO SOLD. P/ESGOTO DIAM. 50 MM </t>
  </si>
  <si>
    <t>m</t>
  </si>
  <si>
    <t xml:space="preserve">TUBO SOLDAVEL P/ESGOTO DIAM.75 MM </t>
  </si>
  <si>
    <t xml:space="preserve">TUBO SOLDAVEL P/ESGOTO DIAM. 100 MM </t>
  </si>
  <si>
    <t>L O U C A S E M E T A I S</t>
  </si>
  <si>
    <t>V A S O S A N I T A R I O / A C E S S O R I O S</t>
  </si>
  <si>
    <t>VASO SANITÁRIO COM CAIXA ACOPLADA COM DUPLO ACIONAMENTO - COMPLETO EXCLUSO O ASSENTO</t>
  </si>
  <si>
    <t xml:space="preserve">ASSENTO EM POLIPROPILENO COM SISTEMA DE FECHAMENTO SUAVE PARA VASO SANITÁRIO </t>
  </si>
  <si>
    <t xml:space="preserve">PORTA PAPEL HIGIÊNICO EM METAL/ACABAMENTO CROMADO </t>
  </si>
  <si>
    <t>L A V A T O R I O / A C E S S O R I O S</t>
  </si>
  <si>
    <t xml:space="preserve">LIGAÇÃO FLEXÍVEL METÁLICA DIAM.1/2"(ENGATE) </t>
  </si>
  <si>
    <t xml:space="preserve">SIFAO FLEXIVEL UNIVERSAL ( SANFONADO) EM PVC PARA LAVATORIO </t>
  </si>
  <si>
    <t xml:space="preserve">TORNEIRA DE MESA PARA LAVATÓRIO DIÂMETRO DE 1/2" </t>
  </si>
  <si>
    <t>P I A / A C E S S O R I O S</t>
  </si>
  <si>
    <t xml:space="preserve">TORNEIRA DE MESA PARA PIA DIÂMETRO DE 1/2" - BICA MÓVEL </t>
  </si>
  <si>
    <t xml:space="preserve">HIDROMETRO DIAM.RAMAL = 25 MM VAZAO =1,5 A 3 M3 </t>
  </si>
  <si>
    <t xml:space="preserve">KIT CAVALETE D=25MM P/HIDRÔMETRO 1,5-3,0-5,0 M3/MURETA/CAIXA </t>
  </si>
  <si>
    <t xml:space="preserve">CAIXA DE INSPEÇÃO - TAMPA EM CONCRETO ARMADO 25 MPA E=5CM </t>
  </si>
  <si>
    <t>CAIXA DE INSPEÇÃO - LASTRO DE CONCRETO (COM ADIÇÃO DE IMPERMEABILIZANTE) 20MPA E=5CM PARA O FUNDO</t>
  </si>
  <si>
    <t>CAIXA DE INSPEÇÃO - ALVENARIA DE 1/2 VEZ COM REVESTIMENTO INTERNO EM REBOCO PAULISTA A-14 (COM ADIÇÃO DE IMPERMEABILIZANTE)</t>
  </si>
  <si>
    <t xml:space="preserve">CAIXA DE INSPEÇÃO - ESCAVAÇÃO MANUAL / REATERRO/ APILOAMENTO DO FUNDO </t>
  </si>
  <si>
    <t>ELETRODUTO PVC FLEXÍVEL - MANGUEIRA CORRUGADA LEVE - DIAM. 25MM</t>
  </si>
  <si>
    <t>7.1</t>
  </si>
  <si>
    <t>7.2</t>
  </si>
  <si>
    <t>7.3</t>
  </si>
  <si>
    <t>8.2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</si>
  <si>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</si>
  <si>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</si>
  <si>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</si>
  <si>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</si>
  <si>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</si>
  <si>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</si>
  <si>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</si>
  <si>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</si>
  <si>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</si>
  <si>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</si>
  <si>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</si>
  <si>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</si>
  <si>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</si>
  <si>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</si>
  <si>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</si>
  <si>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</si>
  <si>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</si>
  <si>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</si>
  <si>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</si>
  <si>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</si>
  <si>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</si>
  <si>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</si>
  <si>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</si>
  <si>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</si>
  <si>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</si>
  <si>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</si>
  <si>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</si>
  <si>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</si>
  <si>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</si>
  <si>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</si>
  <si>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</si>
  <si>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</si>
  <si>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</si>
  <si>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</si>
  <si>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</si>
  <si>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</si>
  <si>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</si>
  <si>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</si>
  <si>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</si>
  <si>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</si>
  <si>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</si>
  <si>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</si>
  <si>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</si>
  <si>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</si>
  <si>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</si>
  <si>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</si>
  <si>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</si>
  <si>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</si>
  <si>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</si>
  <si>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</si>
  <si>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</si>
  <si>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</si>
  <si>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</si>
  <si>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</si>
  <si>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</si>
  <si>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</si>
  <si>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</si>
  <si>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</si>
  <si>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</si>
  <si>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</si>
  <si>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</si>
  <si>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</si>
  <si>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</si>
  <si>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</si>
  <si>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</si>
  <si>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</si>
  <si>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</si>
  <si>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</si>
  <si>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</si>
  <si>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</si>
  <si>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</si>
  <si>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</si>
  <si>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</si>
  <si>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</si>
  <si>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</si>
  <si>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</si>
  <si>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</si>
  <si>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</si>
  <si>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</si>
  <si>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</si>
  <si>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</si>
  <si>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</si>
  <si>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INSTALACOES ESPECIAIS</t>
  </si>
  <si>
    <t>8.1</t>
  </si>
  <si>
    <t>8.3</t>
  </si>
  <si>
    <t>8.4</t>
  </si>
  <si>
    <t>8.5</t>
  </si>
  <si>
    <t>8.6</t>
  </si>
  <si>
    <t>9.1</t>
  </si>
  <si>
    <t>Banheiro Masculino</t>
  </si>
  <si>
    <t>Banheiro Feminino</t>
  </si>
  <si>
    <t>Blocos (1,40x0,50x0,50)</t>
  </si>
  <si>
    <t>Blocos (1,40x0,50x0,55)</t>
  </si>
  <si>
    <t>Blocos (0,50x0,50x0,50)</t>
  </si>
  <si>
    <t>Vigas baldrames</t>
  </si>
  <si>
    <t xml:space="preserve">ACO CA 50-A - 8,0 MM (5/16") - (OBRAS CIVIS) </t>
  </si>
  <si>
    <t>4.8</t>
  </si>
  <si>
    <t>VERGA/CONTRAVERGA EM CONCRETO ARMADO FCK = 20 MPA</t>
  </si>
  <si>
    <t xml:space="preserve"> m3 </t>
  </si>
  <si>
    <t>m2</t>
  </si>
  <si>
    <t xml:space="preserve">ACO CA-50A - 10,0 MM (3/8") - (OBRAS CIVIS) </t>
  </si>
  <si>
    <t xml:space="preserve">PREPARO COM BETONEIRA E TRANSPORTE MANUAL DE CONCRETO FCK=30 MPA </t>
  </si>
  <si>
    <t>FORRO EM LAJE PRE-MOLDADA INC.CAPEAMENTO/FERR.DISTRIB./ESCORAMENTO E FORMA/DESFORMA</t>
  </si>
  <si>
    <t xml:space="preserve">FORMA TABUA PINHO P/FUNDACOES U=3V - (OBRAS CIVIS) </t>
  </si>
  <si>
    <t>4.9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</si>
  <si>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</si>
  <si>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</si>
  <si>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</si>
  <si>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</si>
  <si>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</si>
  <si>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</si>
  <si>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</si>
  <si>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</si>
  <si>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Janelas 1,70 x 1,10 - Verga e Contraverga </t>
  </si>
  <si>
    <t xml:space="preserve">Janelas 1,80 x 1,10 - Verga e Contraverga </t>
  </si>
  <si>
    <t>Porta 2,50x 2,10 - Verga</t>
  </si>
  <si>
    <t>Porta 3,50x 2,10 - Verga</t>
  </si>
  <si>
    <t xml:space="preserve">IMPERMEABILIZACAO VIGAS BALDRAMES E=2,0 CM </t>
  </si>
  <si>
    <t xml:space="preserve">IMPERMEABILIZAÇÃO-REBAIXO BANHEIRO COM 4 DEMÃOS DE EMULSÃO ASFÁLTICA </t>
  </si>
  <si>
    <t>10.1</t>
  </si>
  <si>
    <t>10.2</t>
  </si>
  <si>
    <t>5.9</t>
  </si>
  <si>
    <t>ACO CA-50 A - 8,0 MM (5/16") - (OBRAS CIVIS)</t>
  </si>
  <si>
    <t>Banheiro feminino</t>
  </si>
  <si>
    <t>Cozinha</t>
  </si>
  <si>
    <t>11.1</t>
  </si>
  <si>
    <t>CALHA DE CHAPA GALVANIZADA</t>
  </si>
  <si>
    <t xml:space="preserve">RUFO DE CHAPA GALVANIZADA </t>
  </si>
  <si>
    <t>13.1</t>
  </si>
  <si>
    <t>13.4</t>
  </si>
  <si>
    <t>12.1</t>
  </si>
  <si>
    <t>7.86</t>
  </si>
  <si>
    <t>7.87</t>
  </si>
  <si>
    <t>7.88</t>
  </si>
  <si>
    <t>7.89</t>
  </si>
  <si>
    <t>7.90</t>
  </si>
  <si>
    <t>7.91</t>
  </si>
  <si>
    <t xml:space="preserve">CHAPISCO COMUM </t>
  </si>
  <si>
    <t xml:space="preserve">REVESTIMENTO COM CERÂMICA </t>
  </si>
  <si>
    <t>17.1</t>
  </si>
  <si>
    <t>17.2</t>
  </si>
  <si>
    <t>17.3</t>
  </si>
  <si>
    <t>17.4</t>
  </si>
  <si>
    <t xml:space="preserve">PORTA LISA 80x210 C/PORTAL E ALISAR S/FERRAGENS </t>
  </si>
  <si>
    <t>14.1</t>
  </si>
  <si>
    <t>15.1</t>
  </si>
  <si>
    <t>15.2</t>
  </si>
  <si>
    <t xml:space="preserve">Banheiro masculino - dormitórios </t>
  </si>
  <si>
    <t xml:space="preserve">Banheiro feminino - dormitórios </t>
  </si>
  <si>
    <t xml:space="preserve">VIDRO LISO 4 MM - COLOCADO </t>
  </si>
  <si>
    <t>16.1</t>
  </si>
  <si>
    <t xml:space="preserve">GESSO CORRIDO EM TETO </t>
  </si>
  <si>
    <t>18.1</t>
  </si>
  <si>
    <t>18.2</t>
  </si>
  <si>
    <t xml:space="preserve">BARRA DE APOIO EM AÇO INOX - 40 CM </t>
  </si>
  <si>
    <t xml:space="preserve">BARRA DE APOIO EM AÇO INOX - 80 CM </t>
  </si>
  <si>
    <t xml:space="preserve">DOBRADICA 3" x 3 1/2" FERRO POLIDO </t>
  </si>
  <si>
    <t>20.1</t>
  </si>
  <si>
    <t>20.2</t>
  </si>
  <si>
    <t>20.3</t>
  </si>
  <si>
    <t>20.4</t>
  </si>
  <si>
    <t>Portas de 0,80 x 2,10</t>
  </si>
  <si>
    <t xml:space="preserve">H </t>
  </si>
  <si>
    <t>21.1</t>
  </si>
  <si>
    <t xml:space="preserve">PINTURA LATEX ACRILICA 2 DEMAOS C/SELADOR </t>
  </si>
  <si>
    <t>22.1</t>
  </si>
  <si>
    <t>22.2</t>
  </si>
  <si>
    <t>22.3</t>
  </si>
  <si>
    <t>22.4</t>
  </si>
  <si>
    <t>22.5</t>
  </si>
  <si>
    <t>22.6</t>
  </si>
  <si>
    <t>PINTURA ESMALTE SINTETICO 2 DEMÃOS EM ESQ. MADEIRA</t>
  </si>
  <si>
    <t xml:space="preserve"> PASSEIO PROTECAO EM CONC.DESEMPEN.5 CM 1:2,5:3,5 ( INCLUSO ESPELHO DE 30CM/ESCAVAÇÃO/REATERRO/APILOAMENTO/ATERRO INTERNO)</t>
  </si>
  <si>
    <t xml:space="preserve">GRANITINA 8MM FUNDIDA COM CONTRAPISO (1CI:3ARML) E=2CM E JUNTA PLASTICA 27MM </t>
  </si>
  <si>
    <t xml:space="preserve">RODAPÉ FUNDIDO DE GRANITINA 7CM </t>
  </si>
  <si>
    <t>19.1</t>
  </si>
  <si>
    <t>19.2</t>
  </si>
  <si>
    <t>19.3</t>
  </si>
  <si>
    <t>19.4</t>
  </si>
  <si>
    <t>19.5</t>
  </si>
  <si>
    <t>23.1</t>
  </si>
  <si>
    <t>23.2</t>
  </si>
  <si>
    <t>23.3</t>
  </si>
  <si>
    <t>23.4</t>
  </si>
  <si>
    <t>23.5</t>
  </si>
  <si>
    <t>23.6</t>
  </si>
  <si>
    <t>23.7</t>
  </si>
  <si>
    <t xml:space="preserve"> </t>
  </si>
  <si>
    <t xml:space="preserve">TORNEIRA DE JARDIM COM BICO PARA MANGUEIRA DIÂMETRO DE 1/2" E 3/4" </t>
  </si>
  <si>
    <t>R E G I S T R O S</t>
  </si>
  <si>
    <t xml:space="preserve">REGISTRO DE GAVETA BRUTO DIAMETRO 3/4" </t>
  </si>
  <si>
    <t xml:space="preserve">REGISTRO DE GAVETA BRUTO DIAMETRO 1" </t>
  </si>
  <si>
    <t>AGUA FRIA</t>
  </si>
  <si>
    <t>T U B O S DE P V C S O L D A V E L</t>
  </si>
  <si>
    <t xml:space="preserve">TUBO SOLDAVEL PVC MARROM DIAMETRO 20 mm </t>
  </si>
  <si>
    <t xml:space="preserve">TUBO SOLDAVEL PVC MARROM DIAMETRO 25 mm </t>
  </si>
  <si>
    <t xml:space="preserve">TUBO SOLDAVEL PVC MARROM DIAMETRO 32 mm </t>
  </si>
  <si>
    <t>A D A P T A D O R E S DE P V C S O L D A V E</t>
  </si>
  <si>
    <t xml:space="preserve">ADAPTAD.SOLD.CURTO C/BOLSA E ROSCA P/REG.25X3/4" </t>
  </si>
  <si>
    <t xml:space="preserve">ADAPTAD.SOLD.CURTO C/BOLSA E ROSCA P/REG.32X1" </t>
  </si>
  <si>
    <t xml:space="preserve"> L U V A S DE P V C</t>
  </si>
  <si>
    <t xml:space="preserve">LUVA SOLDAVEL DIAMETRO 25 mm </t>
  </si>
  <si>
    <t xml:space="preserve">LUVA SOLDAVEL DIAMETRO 32 mm </t>
  </si>
  <si>
    <t xml:space="preserve">BUCHA DE REDUCAO SOLD.CURTA 32 X 25 MM </t>
  </si>
  <si>
    <t xml:space="preserve"> J O E L H O S</t>
  </si>
  <si>
    <t xml:space="preserve">JOELHO 90 GRAUS SOLDAVEL DIAMETRO 25 MM </t>
  </si>
  <si>
    <t xml:space="preserve">JOELHO 90 GRAUS SOLDAVEL DIAMETRO 32 MM (1") </t>
  </si>
  <si>
    <t xml:space="preserve">JOELHO RED.90 GRAUS SOLD.C/BUCHA LATAO 25X1/2" </t>
  </si>
  <si>
    <t xml:space="preserve"> T E</t>
  </si>
  <si>
    <t xml:space="preserve"> TE 90 GRAUS SOLDAVEL DIAMETRO 25 mm</t>
  </si>
  <si>
    <t xml:space="preserve">TE 90 GRAUS SOLDAVEL DIAMETRO 32 mm </t>
  </si>
  <si>
    <t xml:space="preserve">TE REDUCAO 90 GRAUS SOLDAVEL 32 X 25 mm </t>
  </si>
  <si>
    <t>TRAMA DE AÇO COMPOSTA POR TERÇAS PARA TELHADOS DE ATÉ 2 ÁGUAS PARA TELHA ONDULADA DE FIBROCIMENTO, METÁLICA, PLÁSTICA OU TERMOACÚSTICA, INCLUSO TRANSPORTE VERTICAL. AF_07/2019</t>
  </si>
  <si>
    <t>12.2</t>
  </si>
  <si>
    <t>FABRICAÇÃO E INSTALAÇÃO DE TESOURA INTEIRA EM AÇO, VÃO DE 12 M, PARA TELHA ONDULADA DE FIBROCIMENTO, METÁLICA, PLÁSTICA OU TERMOACÚSTICA,INCLUSO IÇAMENTO. AF_12/2015</t>
  </si>
  <si>
    <t>BANCADA DE GRANITO C/ESPELHO</t>
  </si>
  <si>
    <t>EXTINTOR MULTI USO EM PO A B C (6 KG) - CAPACIDADE EXTINTORA 3A 20BC</t>
  </si>
  <si>
    <t>_________________________________________</t>
  </si>
  <si>
    <t xml:space="preserve">LEONARDO MARTINS DE CASTRO TEIXEIRA </t>
  </si>
  <si>
    <t>SECRETÁRIO MUNICIPAL DE OBRAS</t>
  </si>
  <si>
    <t>ENGENHEIRO CIVIL</t>
  </si>
  <si>
    <t>CREA 7455/D-GO</t>
  </si>
  <si>
    <t>BDI</t>
  </si>
  <si>
    <t>und.</t>
  </si>
  <si>
    <t>kg</t>
  </si>
  <si>
    <t>mês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</si>
  <si>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</si>
  <si>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</si>
  <si>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</si>
  <si>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</si>
  <si>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</si>
  <si>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</si>
  <si>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</si>
  <si>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</si>
  <si>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</si>
  <si>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</si>
  <si>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</si>
  <si>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2.2</t>
  </si>
  <si>
    <t>TRANSPORTE DE ENTULHO CAÇAMBA ESTACIONÁRIA INCLUSO A CARGA MANUAL</t>
  </si>
  <si>
    <t>TRANSPORTE DE ENTULHO EM CAMINHÃO SEM CARGA</t>
  </si>
  <si>
    <t>REBOCO (1 CALH:4 ARFC+100kgCI/M3)</t>
  </si>
  <si>
    <t xml:space="preserve">EMBOÇO (1CI:4 ARML) </t>
  </si>
  <si>
    <t>PAVIMENTO INTERTRAVADO ESPESSURA DE 6CM E FCK = 35 MPA</t>
  </si>
  <si>
    <t>LUMINÁRIA DE EMERGÊNCIA 30 LEDS</t>
  </si>
  <si>
    <t>Pilares (20 x 30)</t>
  </si>
  <si>
    <t xml:space="preserve">SINAPI - I </t>
  </si>
  <si>
    <t>ARGILA OU BARRO PARA ATERRO/REATERRO (COM TRANSPORTE ATÉ 10 KM)</t>
  </si>
  <si>
    <t>PINTURA TEXTURIZADA C/SELADOR ACRILICO</t>
  </si>
  <si>
    <t>MURO DE ALVENARIA TIJOLO FURADO 1/2 VEZ ( H=2,50M) COM FUNDAÇÃO - SEM REVESTIMENTOS (PADRÃO GOINFRA)</t>
  </si>
  <si>
    <t>BUCHA E ARRUELA METALICA DIAM. 3/4"</t>
  </si>
  <si>
    <t>CAIXA METALICA RET. 4" X 2" X 2"</t>
  </si>
  <si>
    <t>LUVA PVC ROSQUEAVEL DIAMETRO 3/4"</t>
  </si>
  <si>
    <t>NIPLE METALICO Fo.Zo. DIAMETRO 1 1/4"</t>
  </si>
  <si>
    <t>INTERRUPTOR SIMPLES (1 SECAO)</t>
  </si>
  <si>
    <t>INTERRUPTOR SIMPLES (2 SECOES)</t>
  </si>
  <si>
    <t>TOMADA HEXAGONAL 2P + T - 10A - 250V</t>
  </si>
  <si>
    <t>TOMADA HEXAGONAL 2P + T - 20A - 250V</t>
  </si>
  <si>
    <t>INTERRUPTOR SIMPLES 1 SEÇÃO E 1 TOMADA HEXAGONAL 2P + T - 10A CONJUGADOS</t>
  </si>
  <si>
    <t>SENSOR DE PRESENÇA COM FOTOCÉLULA, FIXAÇÃO EM PAREDE - FORNECIMENTO E INSTALAÇÃO. AF_02/2020</t>
  </si>
  <si>
    <t>DISJUNTOR TRIPOLAR 40 A 50A</t>
  </si>
  <si>
    <t>DISJUNTOR MONOPOLAR DE 10 A 32-A</t>
  </si>
  <si>
    <t>DISPOSITIVO DE PROTEÇÃO CONTRA SURTOS (D.P.S.) 275V DE 90KA</t>
  </si>
  <si>
    <t>INTERRUPTOR DIFERENCIAL RESIDUAL (D.R.) BIPOLAR DE 25A-30mA</t>
  </si>
  <si>
    <t>ELETRODUTO DE PVC RIGIDO DIAMETRO 3/4"</t>
  </si>
  <si>
    <t>ARRUELA QUAD.ACO GALVANIZADO 3X38X38MM FURO 18MM</t>
  </si>
  <si>
    <t>PORCA QUADRADA DE ACO GALVANIZADO 16 X 2</t>
  </si>
  <si>
    <t>CAIXA METÁLICA PARA MEDIDOR POLIFÁSICO PADRÃO ENEL 500X380X166MM</t>
  </si>
  <si>
    <t>PADRAO TRIFASICO, 10 MM2 H=7 METROS</t>
  </si>
  <si>
    <t>JOELHO 45 GRAUS DIAMETRO 40 MM</t>
  </si>
  <si>
    <t>JOELHO 45 GRAUS DIAMETRO 50 MM</t>
  </si>
  <si>
    <t>LUVA SIMPLES DIAMETRO 50 MM</t>
  </si>
  <si>
    <t>LUVA SIMPLES DIAM. 100 MM</t>
  </si>
  <si>
    <t>JOELHO 45 GRAUS DIAMETRO 100 MM</t>
  </si>
  <si>
    <t>AV. MANDAGUARI ESQ. RUA M2, APM-1, LOTEAMENTO PORTAL DO LAGO 2</t>
  </si>
  <si>
    <t>TABELA</t>
  </si>
  <si>
    <t>CÓD.</t>
  </si>
  <si>
    <t>SETOR</t>
  </si>
  <si>
    <t>PROCESSO</t>
  </si>
  <si>
    <t>OBJETO</t>
  </si>
  <si>
    <t>ENDEREÇO</t>
  </si>
  <si>
    <t>TABELAS</t>
  </si>
  <si>
    <t xml:space="preserve">DATA </t>
  </si>
  <si>
    <t xml:space="preserve">ORÇAMENTO SINTÉTICO </t>
  </si>
  <si>
    <t>6 DE JANEIRO DE 2021</t>
  </si>
  <si>
    <t>TOTAL DO GRUPO</t>
  </si>
  <si>
    <t>CONSTRUÇÃO DA SEDE DA ASSOCIAÇÃO DO TRUCO EM CATALÃO/GO</t>
  </si>
  <si>
    <t>CUSTO TOTAL MÃO DE OBRA</t>
  </si>
  <si>
    <t>CUSTO TOTAL MATERIAIS</t>
  </si>
  <si>
    <t>CUSTO TOTAL</t>
  </si>
  <si>
    <t>VALOR TOTAL COM BDI</t>
  </si>
  <si>
    <t>RESPONSABILIDADE TÉCNICA</t>
  </si>
  <si>
    <t>DESCRIÇÃO</t>
  </si>
  <si>
    <t>UNID.</t>
  </si>
  <si>
    <t>MEMÓRIA CÁLCULO</t>
  </si>
  <si>
    <t>Área do Terreno: Largura x Comprimento</t>
  </si>
  <si>
    <t>Duração da Obra</t>
  </si>
  <si>
    <t>SERVIÇOS</t>
  </si>
  <si>
    <t>PERCENTUAL GLOBAL MENSAL</t>
  </si>
  <si>
    <t>PERCENTUAL GLOBAL ACUMULADO</t>
  </si>
  <si>
    <t>VALOR MENSAL</t>
  </si>
  <si>
    <t>VALOR ACUMULADO</t>
  </si>
  <si>
    <t>MEMORIAL DE CÁLCULO</t>
  </si>
  <si>
    <t>Área construída: Largura x comprimento</t>
  </si>
  <si>
    <t>Dimensão padrão: Largura x Altura</t>
  </si>
  <si>
    <t>CONSUMO DE ÁGUA</t>
  </si>
  <si>
    <t>Volume consumo: coef. X área construída</t>
  </si>
  <si>
    <t>Coeficiente</t>
  </si>
  <si>
    <t>m3/m2</t>
  </si>
  <si>
    <t>CONSUMO DE ENERGIA ELÉTRICA</t>
  </si>
  <si>
    <t>kwh/m2</t>
  </si>
  <si>
    <t>Potência consumo: coef. X área construída</t>
  </si>
  <si>
    <t>EPI/PCMAT/PCMSO/EXAMES/TREINAMENTOS/VISITAS (&gt;= 20 EMPREGADOS) - ÁREAS
EDIFICADAS/COBERTAS/FECHADAS</t>
  </si>
  <si>
    <t>Área real construída</t>
  </si>
  <si>
    <t>%</t>
  </si>
  <si>
    <t>TRANSPORTE DE ENTULHO EM CAÇAMBA ESTACIONÁRIA INCLUSO A CARGA MANUAL</t>
  </si>
  <si>
    <t>Entulho gerado durante a obra</t>
  </si>
  <si>
    <t>Entulho gerado limpeza terreno</t>
  </si>
  <si>
    <t>Espessura da limpeza</t>
  </si>
  <si>
    <t>SERVIÇOS EM TERRA</t>
  </si>
  <si>
    <t>Comprimento das baldrames: projeto estrutural</t>
  </si>
  <si>
    <t>Comprimento Viga baldrame</t>
  </si>
  <si>
    <t>Nivelamento do terreno e arquibancada</t>
  </si>
  <si>
    <t>Área a ser nivelada</t>
  </si>
  <si>
    <t>Área Seção Transversal da arquibancada</t>
  </si>
  <si>
    <t>Largura arquibancada</t>
  </si>
  <si>
    <t>Altura média do nivelamento</t>
  </si>
  <si>
    <t>Área Seção Transversal das vigas (14 x 40) + 15,00 cm para cada lado</t>
  </si>
  <si>
    <t>APILOAMENTO MECÂNICO</t>
  </si>
  <si>
    <t>Área de piso da construção</t>
  </si>
  <si>
    <t>ESPALHAMENTO MECANICO</t>
  </si>
  <si>
    <t>Área do terreno</t>
  </si>
  <si>
    <t>Área do terreno conforme item 1.1</t>
  </si>
  <si>
    <t>FUNDAÇÕES E SONDAGENS</t>
  </si>
  <si>
    <t>comprimento da estaca x quantidade de estacas</t>
  </si>
  <si>
    <t>Comprimento estacas</t>
  </si>
  <si>
    <t>volume total dos blocos</t>
  </si>
  <si>
    <t>APILOAMENTO MECÂNICO (BLOCOS/SAPATAS)</t>
  </si>
  <si>
    <t>área de base dos blocos</t>
  </si>
  <si>
    <t>Blocos (0,50x0,50)</t>
  </si>
  <si>
    <t>Altura das Vigas baldrames</t>
  </si>
  <si>
    <t>Número de lados</t>
  </si>
  <si>
    <t>área total de formas: blocos + baldrames</t>
  </si>
  <si>
    <t>Blocos (1,40x0,50) - 2 lados</t>
  </si>
  <si>
    <t>Blocos (0,55x0,50) - 2 lados</t>
  </si>
  <si>
    <t>Blocos (0,50x0,50) - 4 lados</t>
  </si>
  <si>
    <t>Volume Blocos (0,50x0,50x0,50)</t>
  </si>
  <si>
    <t>Volume Vigas baldrames</t>
  </si>
  <si>
    <t>Volume Blocos (1,40x0,50x0,55)</t>
  </si>
  <si>
    <t>volume concreto: (volume bloco x quantidade blocos) + volume vigas baldrame</t>
  </si>
  <si>
    <t>massa linear</t>
  </si>
  <si>
    <t>kg/m</t>
  </si>
  <si>
    <t>peso total: comprimento aço x quantidade barras x massa linear</t>
  </si>
  <si>
    <t>INST. ELÉT./TELEFÔNICA/CABEAMENTO ESTRUTURADO</t>
  </si>
  <si>
    <t>INSTALAÇÕES HIDRO-SANITÁRIAS</t>
  </si>
  <si>
    <t>ALVENARIAS E DIVISÓRIAS</t>
  </si>
  <si>
    <t>IMPERMEABILIZAÇÃO</t>
  </si>
  <si>
    <t>ESTRUTURAS METÁLICAS</t>
  </si>
  <si>
    <t>ESQUADRIAS DE MADEIRAS</t>
  </si>
  <si>
    <t>Alvenaria externa: Altura</t>
  </si>
  <si>
    <t>Alvenaria externa: perímetro</t>
  </si>
  <si>
    <t>perímetro x altura</t>
  </si>
  <si>
    <t>Alvenaria externa: subtotal</t>
  </si>
  <si>
    <t>Alvenaria interna: Altura</t>
  </si>
  <si>
    <t>Alvenaria interna: perímetro</t>
  </si>
  <si>
    <t>Alvenaria interna: subtotal</t>
  </si>
  <si>
    <t>ESQ. MAXIMO AR CHAPA/VIDRO J3/J5/J6/J8 C/FERRAGENS</t>
  </si>
  <si>
    <t>áreas faces das vigas baldrames</t>
  </si>
  <si>
    <t>Comprimento total Vigas baldrame</t>
  </si>
  <si>
    <t>Altura Vigas baldrame</t>
  </si>
  <si>
    <t>Largura Vigas Baldrames</t>
  </si>
  <si>
    <t>A</t>
  </si>
  <si>
    <t>B</t>
  </si>
  <si>
    <t>C</t>
  </si>
  <si>
    <t>TOTAL = (2xAxB) + (AxC)</t>
  </si>
  <si>
    <t>área pisos banheiros</t>
  </si>
  <si>
    <t>Área piso banheiro masculino</t>
  </si>
  <si>
    <t>Área piso banheiro feminino</t>
  </si>
  <si>
    <t>TOTAL = A + B</t>
  </si>
  <si>
    <t>Área coberta</t>
  </si>
  <si>
    <t>Largura da edificação</t>
  </si>
  <si>
    <t>Comprimento da edificação</t>
  </si>
  <si>
    <t>TOTAL = A x B</t>
  </si>
  <si>
    <t>und</t>
  </si>
  <si>
    <t>Quantidade de tesouras conforme projeto arquitetônico</t>
  </si>
  <si>
    <t>COBERTURA COM TELHA CHAPA GALVANIZADA TRAPEZOIDAL 0,43 MM COM ACESSÓRIOS</t>
  </si>
  <si>
    <t>CUMEEIRA PARA TELHA GALVANIZADA TRAPEZOIDAL 0,43MM</t>
  </si>
  <si>
    <t>Comprimento da cumeeira</t>
  </si>
  <si>
    <t>Comprimento dos beirais</t>
  </si>
  <si>
    <t>Quantidade de lados</t>
  </si>
  <si>
    <t>Largura da calha</t>
  </si>
  <si>
    <t>área da calha</t>
  </si>
  <si>
    <t>Largura da cobertura</t>
  </si>
  <si>
    <t>D</t>
  </si>
  <si>
    <t>Ára de pingadeira (0,15 + 0,2 + 0,2) x  perímetro platibanda</t>
  </si>
  <si>
    <t>TOTAL = (A x B x C) + D</t>
  </si>
  <si>
    <t>TOTAL = A * B</t>
  </si>
  <si>
    <t>Largura da platibanda</t>
  </si>
  <si>
    <t>Quantidade conforme projeto arquitetônico</t>
  </si>
  <si>
    <t>Administração</t>
  </si>
  <si>
    <t>PORTAO /CHAPA TRAPEZ / TUBO DE ACO PT-5 C/FERRAGEM</t>
  </si>
  <si>
    <t>Portão frontal (2,40 m x 2,10 m)</t>
  </si>
  <si>
    <t>largura x altura</t>
  </si>
  <si>
    <t>Portão saída emergência (1,50 m x 2,10 m)</t>
  </si>
  <si>
    <t>largura x altura x quantidade</t>
  </si>
  <si>
    <t>Janelas laterais e fundo tipo J6 (0,60 m x 2,40 m)</t>
  </si>
  <si>
    <t xml:space="preserve">Quantidade </t>
  </si>
  <si>
    <t>Janelas banheiro tipo J8 (0,50 m x 0,50 m)</t>
  </si>
  <si>
    <t>Janelas frontais (1,00 m x 0,50 m)</t>
  </si>
  <si>
    <t>E</t>
  </si>
  <si>
    <t>F</t>
  </si>
  <si>
    <t>TOTAL = (A x B) + (C x D) + (E x F)</t>
  </si>
  <si>
    <t>PORTAO TELA/TUBO FoGo PT1/PT2 C/FERRAGENS</t>
  </si>
  <si>
    <t xml:space="preserve">Altura </t>
  </si>
  <si>
    <t>TOTAL = (A x B)</t>
  </si>
  <si>
    <t>Conforme item 15.2</t>
  </si>
  <si>
    <t>área de janelas</t>
  </si>
  <si>
    <t>Número de faces</t>
  </si>
  <si>
    <t>Alvenaria arquibancada</t>
  </si>
  <si>
    <t>Desconto dos vãos: portas e balcão</t>
  </si>
  <si>
    <t>Desconto dos vãos: portões e janelas</t>
  </si>
  <si>
    <t>TOTAL = A + B + C</t>
  </si>
  <si>
    <t>Área conforme item 17.1</t>
  </si>
  <si>
    <t>área alvenaria x nº faces</t>
  </si>
  <si>
    <t>área do chapisco</t>
  </si>
  <si>
    <t>área do emboço - área revestimento cerâmico</t>
  </si>
  <si>
    <t>área de emboço conforme item 17.2</t>
  </si>
  <si>
    <t xml:space="preserve">desconto alvenaria banheiro masculino </t>
  </si>
  <si>
    <t>desconto alvenaria banheiro feminino</t>
  </si>
  <si>
    <t>desconto barrado da cozinha</t>
  </si>
  <si>
    <t>subtotal descontos</t>
  </si>
  <si>
    <t>TOTAL = A - B</t>
  </si>
  <si>
    <t>revestimento cerâmico</t>
  </si>
  <si>
    <t>saldo da área de reboco: conforme item 17.3.B</t>
  </si>
  <si>
    <t>Área coberta - área administrativa</t>
  </si>
  <si>
    <t>Área da construção</t>
  </si>
  <si>
    <t>Área administrativa</t>
  </si>
  <si>
    <t>gesso sob laje de forro</t>
  </si>
  <si>
    <t>FORRO DE PVC COM ESTRUTURA EM METALON PINTADA COM TINTA ALQUÍDICA D.F.</t>
  </si>
  <si>
    <t>LASTRO DE CONCRETO REGULARIZADO IMPERMEABILIZADO 1:3:6 ESP=5CM (BASE)</t>
  </si>
  <si>
    <t>Área de piso cozinha</t>
  </si>
  <si>
    <t>Área de piso administrativo</t>
  </si>
  <si>
    <t>Área de piso circulação</t>
  </si>
  <si>
    <t>Área de piso wc masculino</t>
  </si>
  <si>
    <t>Área de piso wc feminino</t>
  </si>
  <si>
    <t>Área de piso salão</t>
  </si>
  <si>
    <t>Área de piso passeio proteção</t>
  </si>
  <si>
    <t>Área de piso passeio externo</t>
  </si>
  <si>
    <t>LASTRO DE CONCRETO REGULARIZADO SEM IMPERMEAB. 1:3:6 ESP= 5CM (BASE)</t>
  </si>
  <si>
    <t>área de piso total</t>
  </si>
  <si>
    <t>área de piso externa</t>
  </si>
  <si>
    <t>PASSEIO PROTECAO EM CONC.DESEMPEN.5 CM 1:2,5:3,5 ( INCLUSO ESPELHO DE 30CM/ ESCAVAÇÃO/REATERRO/APILOAMENTO/ATERRO INTERNO)</t>
  </si>
  <si>
    <t>perímetro passeio x largura</t>
  </si>
  <si>
    <t>Perímetro passeio de proteção</t>
  </si>
  <si>
    <t>Largura passeio de proteção</t>
  </si>
  <si>
    <t>PISO CONCRETO DESEMPENADO ESPESSURA = 5 CM 1:2,5:3,5</t>
  </si>
  <si>
    <t>Área conforme item 19.1.B</t>
  </si>
  <si>
    <t>área passeio externo</t>
  </si>
  <si>
    <t>Área conforme item 19.3</t>
  </si>
  <si>
    <t>perímetro alvenaria - descontos</t>
  </si>
  <si>
    <t>LASTRO DE BRITA PARA PISO - (OBRAS CIVIS)</t>
  </si>
  <si>
    <t>Área dos fundos e lateral</t>
  </si>
  <si>
    <t>Perímetro salão</t>
  </si>
  <si>
    <t>Perímetro área administrativa</t>
  </si>
  <si>
    <t xml:space="preserve">Descontos </t>
  </si>
  <si>
    <t>Área assento arquibancada + degraus</t>
  </si>
  <si>
    <t>TOTAL = A + B -C</t>
  </si>
  <si>
    <t>19.6</t>
  </si>
  <si>
    <t>19.7</t>
  </si>
  <si>
    <t>quantidade total</t>
  </si>
  <si>
    <t>Banheiro masculino</t>
  </si>
  <si>
    <t>FECH.(ALAV.) LAFONTE 6236 I /8766- I18 IMAB OU EQUIV</t>
  </si>
  <si>
    <t>quantidade total portas x 3</t>
  </si>
  <si>
    <t>quantidade dobradiças</t>
  </si>
  <si>
    <t>CADEADO 50 MM</t>
  </si>
  <si>
    <t>Portão frontal, dos fundos e externo</t>
  </si>
  <si>
    <t>duração da obra x horas por dias</t>
  </si>
  <si>
    <t>Horas/dias</t>
  </si>
  <si>
    <t>h</t>
  </si>
  <si>
    <t>meses</t>
  </si>
  <si>
    <t>Alvenaria externa face externa- conforme item 9.1.A</t>
  </si>
  <si>
    <t>área alvenaria externa</t>
  </si>
  <si>
    <t>Área alvenaria externa conforme item 9.1.A</t>
  </si>
  <si>
    <t>Área alvenaria interna conforme item 9.1.B</t>
  </si>
  <si>
    <t>Área alvenaria arquibancada conforme item</t>
  </si>
  <si>
    <t>área reboco - área alvenaria externa uma face</t>
  </si>
  <si>
    <t>Área reboco conforme item 17.3</t>
  </si>
  <si>
    <t>Área externa uma face</t>
  </si>
  <si>
    <t>alvenarias face interna</t>
  </si>
  <si>
    <t>Alvenaria interna conforme item 22.2</t>
  </si>
  <si>
    <t>Forro área administrativa - conforme item 18.2</t>
  </si>
  <si>
    <t>EMASSAMENTO/OLEO/ESQUADRIAS MADEIRA</t>
  </si>
  <si>
    <t>PINT.ESMALTE/ESQUAD.FERRO C/FUNDO ANTICOR.</t>
  </si>
  <si>
    <t>Área esquadrias de madeiras</t>
  </si>
  <si>
    <t>área da porta x 3 x quantidade</t>
  </si>
  <si>
    <t>Área conforme item 22.4</t>
  </si>
  <si>
    <t>área pintura das portas madeira</t>
  </si>
  <si>
    <t>área total esquadrias x nº faces</t>
  </si>
  <si>
    <t>Portão área externa</t>
  </si>
  <si>
    <t xml:space="preserve">Nº faces </t>
  </si>
  <si>
    <t>Área do muro externo duas faces</t>
  </si>
  <si>
    <t>TOTAL = A - B + C + D</t>
  </si>
  <si>
    <t>Área guarda corpo (2,00 m x 0,90 m)</t>
  </si>
  <si>
    <t>Perímetro da divisa</t>
  </si>
  <si>
    <t>Altura do muro</t>
  </si>
  <si>
    <t xml:space="preserve">perímetro do muro x altura do muro </t>
  </si>
  <si>
    <t>Área do estacionamento</t>
  </si>
  <si>
    <t xml:space="preserve">área </t>
  </si>
  <si>
    <t>LIMPEZA FINAL DE OBRA - (OBRAS CIVIS)</t>
  </si>
  <si>
    <t>Área total construída</t>
  </si>
  <si>
    <t>área</t>
  </si>
  <si>
    <t>Placa de inauguração (60 cm x 80 cm)</t>
  </si>
  <si>
    <t>quantidade</t>
  </si>
  <si>
    <t>Bancada Cozinha</t>
  </si>
  <si>
    <t>largura x comprimento</t>
  </si>
  <si>
    <t>Cozinha (0,60 m x 1,00 m)</t>
  </si>
  <si>
    <t>altura fonte x quantidade letras</t>
  </si>
  <si>
    <t>Fachada frontal (0,30 * 28,00)</t>
  </si>
  <si>
    <t>EPI/PPRA/PCMSO/EXAMES/TREINAMENTOS/VISITAS (&lt; 20 EMPREGADOS) - ÁREAS
EDIFICADAS/COBERTAS/FECHADAS</t>
  </si>
  <si>
    <t>Blocos (0,50x1,40)</t>
  </si>
  <si>
    <t>TOTAL = (A x B) + (C x D)</t>
  </si>
  <si>
    <t>TOTA  = (A x B) + (C x D)</t>
  </si>
  <si>
    <t>Comprimento Vigas baldrames - conforme projeto estrutural</t>
  </si>
  <si>
    <t>volume total de concreto</t>
  </si>
  <si>
    <t>Estacas - conforme projeto estrutural</t>
  </si>
  <si>
    <t>Vigas baldrames - conforme projeto estrutural</t>
  </si>
  <si>
    <t>ACO CA - 60 - 5,0 MM - (OBRAS CIVIS)</t>
  </si>
  <si>
    <t>Estacas</t>
  </si>
  <si>
    <t>Blocos</t>
  </si>
  <si>
    <t>seção da verga x comprimento</t>
  </si>
  <si>
    <t xml:space="preserve">seção transversal verga </t>
  </si>
  <si>
    <t>2 Janelas (0,50 x 0,50) + 25 cm de cada lado</t>
  </si>
  <si>
    <t>3 Janelas (1,00 x 0,50) + 25 cm de cada lado</t>
  </si>
  <si>
    <t>4 Portas (0,80 x 2,10) + 25 cm de cada lado</t>
  </si>
  <si>
    <t>10 Janelas (2,40 x 0,60) + 25 cm de cada lado</t>
  </si>
  <si>
    <t>Portão frontal (2,40 x 2,10) + 25 cm de cada lado</t>
  </si>
  <si>
    <t>Portão saída de emergência (1,50 x 2,10) + 25 cm de cada lado</t>
  </si>
  <si>
    <t xml:space="preserve">Pilares (20 x 30): quantidade x altura x nº faces </t>
  </si>
  <si>
    <t xml:space="preserve">Pilares (14 x 30): quantidade x altura x nº faces </t>
  </si>
  <si>
    <t>Vigas (14 x 40): (comprimento x altura x nº faces) + (largura * comprimento)</t>
  </si>
  <si>
    <t>área forma lateral x 2 + área fundo</t>
  </si>
  <si>
    <t>Nível + 3,00</t>
  </si>
  <si>
    <t>Nível + 5,20</t>
  </si>
  <si>
    <t>comprimento aço x massa linear</t>
  </si>
  <si>
    <t>Área de Laje: cozinha, administrativo, banheiros, circulação</t>
  </si>
  <si>
    <t>20.5</t>
  </si>
  <si>
    <t>TABELA GOINFRA 142 - CUSTOS DE OBRAS CIVIS - NOVEMBRO/2020 - DESONERADA - DATA BASE: 01/11/2020</t>
  </si>
  <si>
    <t>ANDAIME METALICO FACHADEIRO (ALUGUEL/MES)</t>
  </si>
  <si>
    <t>LANÇAMENTO/APLICAÇÃO/ADENSAMENTO MANUAL DE CONCRETO - (OBRAS CIVIS)</t>
  </si>
  <si>
    <t>área fachada x duração da obra</t>
  </si>
  <si>
    <t xml:space="preserve">área da fachada frontal </t>
  </si>
  <si>
    <t>M</t>
  </si>
  <si>
    <t>CABO ISOLADO PVC 750 V. No. 2,5 MM2</t>
  </si>
  <si>
    <t>CABO ISOLADO PVC 750 V. No. 4 MM2</t>
  </si>
  <si>
    <t>HASTE REV.COBRE(COPPERWELD) 5/8" X 3,00 M C/CONECTOR</t>
  </si>
  <si>
    <t>ISOLADOR ROLDANA PORCELANA 72 X 72</t>
  </si>
  <si>
    <t>QUADRO DE DISTRIBUIÇÃO DE EMBUTIR METÁLICO CB-24E - 150A</t>
  </si>
  <si>
    <t>CABO EPR/XLPE (90°C) 1KV - 10MM2</t>
  </si>
  <si>
    <t>INTERRUPTOR SIMPLES (3 SECOES)</t>
  </si>
  <si>
    <t>TUBO DE AÇO GALVANIZADO 3/4" SCHEDULE 40, ROSCA NPT - NBR 5590</t>
  </si>
  <si>
    <t>COTOVELO 90º FERRO MALEÁVEL GALVANIZADO 3/4" CLASSE 150 ROSCA NPT NBR 6925</t>
  </si>
  <si>
    <t>LUVA DE FERRO MALEÁVEL GALVANIZADO 3/4", CLASSE 150, ROSCA NPT - NBR 6925</t>
  </si>
  <si>
    <t>LUVA REDUÇÃO DE FERRO MALEÁVEL GALVANIZADO 3/4" X 1/2", CLASSE 150, ROSCA NPT - NBR 6925</t>
  </si>
  <si>
    <t>REGISTRO ESFERA EM LATÃO PARA GÁS ROSCA 1/2" NPT MACHO MONOBLOCO ANGULAR</t>
  </si>
  <si>
    <t>CHICOTE "PIGTAIL" FLEXÍVEL PARA P-45 DE MANGUEIRA NITRÍLICA COM COMPRIMENTO DE 500 MM E ROSCA DAS CONEXÕES DE 7/8" R.E. X 7/16"NS OU</t>
  </si>
  <si>
    <t>EST.MAD.TELHA FIBROCIM. COM APOIOS EM LAJES/VIGAS OU PAREDES(SOMENTE TERÇAS) C/FERRAGENS</t>
  </si>
  <si>
    <t>Central de Gás (0,60 x 1,00)</t>
  </si>
  <si>
    <t>Salão</t>
  </si>
  <si>
    <t>13.2</t>
  </si>
  <si>
    <t>13.3</t>
  </si>
  <si>
    <t>15.3</t>
  </si>
  <si>
    <t>ALVENARIA DE TIJOLO FURADO 1/2 VEZ 14X29X9 - 6 FUROS - ARG. (1CALH:4ARML+100KG DE CI/M3)</t>
  </si>
  <si>
    <t>ESTRUTURAS DE MADEIRA</t>
  </si>
  <si>
    <t>ENCARREGADO - (OBRAS CIVIS)</t>
  </si>
  <si>
    <t>EMASSAMENTO COM MASSA PVA DUAS DEMAOS</t>
  </si>
  <si>
    <t>PLACA DE INAUGURACAO ACO ESCOVADO 80 X 60 CM</t>
  </si>
  <si>
    <t>SUPORTE PARA BANCADA EM FERRO "T" 1/8" X 1 1/4"</t>
  </si>
  <si>
    <t>LETRA CAIXA INOX COLOCADA</t>
  </si>
  <si>
    <t>FORMA CH.COMPENSADA 12MM-VIGA/PILAR U=3V - (OBRAS CIVIS)</t>
  </si>
  <si>
    <t>M3</t>
  </si>
  <si>
    <t>Espessura camada</t>
  </si>
  <si>
    <t>área externa x espessura camada</t>
  </si>
  <si>
    <t>área projeção da laje</t>
  </si>
  <si>
    <t>COMPOSIÇÃO BDI (BENEFÍCIOS E DISPESAS INDIRETAS)</t>
  </si>
  <si>
    <t>DURAÇÃO</t>
  </si>
  <si>
    <t>1º MÊS</t>
  </si>
  <si>
    <t>2º MÊS</t>
  </si>
  <si>
    <t>3º MÊS</t>
  </si>
  <si>
    <t>4º MÊS</t>
  </si>
  <si>
    <t>5º MÊS</t>
  </si>
  <si>
    <t>6º MÊS</t>
  </si>
  <si>
    <t>ANEL DE VEDAÇÃO PARA VASO SANITÁRIO</t>
  </si>
  <si>
    <t>CONJUNTO DE FIXACAO P/VASO SANITARIO (PAR)</t>
  </si>
  <si>
    <t>cj</t>
  </si>
  <si>
    <t>LAVATÓRIO MÉDIO COM COLUNA</t>
  </si>
  <si>
    <t>FIXACAO P/LAVATORIO (PAR)</t>
  </si>
  <si>
    <t>par</t>
  </si>
  <si>
    <t>LIGAÇÃO FLEXÍVEL PVC DIAM.1/2" (ENGATE)</t>
  </si>
  <si>
    <t>PIA MÁRMORE/GRANITO SINTÉTICO 1,20X0,54 M</t>
  </si>
  <si>
    <t>SIFAO PVC P/PIA 1.1/2" X 2"</t>
  </si>
  <si>
    <t>REGISTRO DE GAVETA C/CANOPLA DIAMETRO 3/4"</t>
  </si>
  <si>
    <t>REGISTRO DE GAVETA C/CANOPLA DIAMETRO 1"</t>
  </si>
  <si>
    <t>ADAPTADOR SOLD.C/FLANGES LIVRES P/CX.DAGUA 32X1"</t>
  </si>
  <si>
    <t xml:space="preserve">JOELHO 90 GRAUS SOLDAVEL DIAMETRO 20 MM </t>
  </si>
  <si>
    <t>JOELHO REDUÇÃO 90º SOLDÁVEL  32 mm X 25 mm</t>
  </si>
  <si>
    <t>G R E L H A S</t>
  </si>
  <si>
    <t>GRELHA REDONDA CROMADA DIAM.100 MM</t>
  </si>
  <si>
    <t>FOSSA SEPTICA 1500 LITROS COM IMPERMEABILIZAÇÃO</t>
  </si>
  <si>
    <t>CAIXA DE GORDURA E INSPEÇÃO EM PVC/ABS 19 LITROS COM TAMPA E PORTA TAMPA E  CESTO DE LIMPEZA REMOVÍVEL</t>
  </si>
  <si>
    <t>SUMIDOURO COM DIÂMETRO=1,60M E  PROFUNDIDADE=4,50 M</t>
  </si>
  <si>
    <t>TERMINAL DE VENTILACAO DIAMETRO 50 MM</t>
  </si>
  <si>
    <t>TORNEIRA BOIA DIAMETRO (3/4") 20 MM</t>
  </si>
  <si>
    <t>CAIXA DAGUA POLIETILENO 500 LTS.C/TAMPA</t>
  </si>
  <si>
    <t>INCENDIOS</t>
  </si>
  <si>
    <t>Nível + 4,00</t>
  </si>
  <si>
    <t>Vigas respaldo (14 x 20): (comprimento x altura x nº faces) + (largura * comprimento)</t>
  </si>
  <si>
    <t>Vigas nível + 3,00 m (14 x 40)</t>
  </si>
  <si>
    <t>Vigas nível + 4,00 m (14 x 40)</t>
  </si>
  <si>
    <t>Vigas nível + 5,20 m (14 x 20)</t>
  </si>
  <si>
    <t>Pilares (14 x 30): 9 unidades</t>
  </si>
  <si>
    <t>Pilares (14 x 30): 2 unidades</t>
  </si>
  <si>
    <t>Volume conforme item 5.7</t>
  </si>
  <si>
    <t>LUMINÁRIA TIPO PLAFON, DE SOBREPOR, COM 1 LÂMPADA LED DE 12/13 W, SEM REATOR - FORNECIMENTO E INSTALAÇÃO. AF_02/2020</t>
  </si>
  <si>
    <t>LÂMPADA FLUORESCENTE TUBULAR T5 DE 28 W</t>
  </si>
  <si>
    <t>LUMINÁRIA TIPO ARANDELA DE USO EXTERNO BLINDADA COM GRADE ( MÉDIA ) - BASE E-27</t>
  </si>
  <si>
    <t>LUMINÁRIA TIPO PROJETOR CIRCULAR ATÉ 200 W - BASE E-27</t>
  </si>
  <si>
    <t>PHILIPJOHN RIBEIRO SILVA</t>
  </si>
  <si>
    <t>CREA 1016927460/D-GO</t>
  </si>
  <si>
    <t>BDI (26,30 %)</t>
  </si>
  <si>
    <t>KWH</t>
  </si>
  <si>
    <t xml:space="preserve"> T A N Q U E S / T O R N E I R A S  J A R D I M S</t>
  </si>
  <si>
    <t>Área construída: conforme item 1.3</t>
  </si>
  <si>
    <t>TABELA SINAPI PCI.817.01 - CUSTO DE COMPOSIÇÕES - SINTÉTITICO - NOVEMBRO/2020 - COM DESONERAÇÃO - DATA BASE: 15/12/2020</t>
  </si>
  <si>
    <t>Percentual sobre área construída</t>
  </si>
  <si>
    <t>prazo execução fachada</t>
  </si>
  <si>
    <t>CRONOGRAMA FÍSICO-FINANCEIRO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</si>
</sst>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\-??_);_(@_)"/>
    <numFmt numFmtId="166" formatCode="&quot;R$&quot;\ #,##0.00"/>
    <numFmt numFmtId="167" formatCode="0.0000"/>
    <numFmt numFmtId="168" formatCode="[$-F800]dddd\,\ mmmm\ dd\,\ yyyy"/>
    <numFmt numFmtId="169" formatCode="0.0%"/>
    <numFmt numFmtId="170" formatCode="0.00000"/>
    <numFmt numFmtId="171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165" fontId="4" fillId="0" borderId="0"/>
    <xf numFmtId="43" fontId="3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0" xfId="0" applyProtection="1"/>
    <xf numFmtId="0" fontId="0" fillId="0" borderId="0" xfId="0" applyFill="1" applyProtection="1"/>
    <xf numFmtId="2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4" fontId="6" fillId="0" borderId="0" xfId="4" applyNumberFormat="1" applyFont="1" applyAlignment="1" applyProtection="1">
      <alignment horizontal="center" vertical="center"/>
    </xf>
    <xf numFmtId="2" fontId="0" fillId="0" borderId="0" xfId="0" applyNumberFormat="1" applyProtection="1"/>
    <xf numFmtId="0" fontId="0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166" fontId="0" fillId="0" borderId="2" xfId="0" applyNumberFormat="1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/>
    <xf numFmtId="0" fontId="8" fillId="0" borderId="0" xfId="0" applyFont="1" applyBorder="1" applyAlignment="1"/>
    <xf numFmtId="10" fontId="8" fillId="0" borderId="0" xfId="3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/>
    <xf numFmtId="166" fontId="8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5" xfId="0" applyBorder="1"/>
    <xf numFmtId="166" fontId="8" fillId="0" borderId="25" xfId="0" applyNumberFormat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5" xfId="0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" fontId="10" fillId="0" borderId="38" xfId="7" applyNumberFormat="1" applyFont="1" applyBorder="1" applyAlignment="1">
      <alignment horizontal="center" vertical="center"/>
    </xf>
    <xf numFmtId="4" fontId="10" fillId="0" borderId="39" xfId="7" applyNumberFormat="1" applyFont="1" applyBorder="1" applyAlignment="1">
      <alignment horizontal="center" vertical="center"/>
    </xf>
    <xf numFmtId="0" fontId="11" fillId="0" borderId="4" xfId="0" applyFont="1" applyBorder="1"/>
    <xf numFmtId="0" fontId="8" fillId="0" borderId="0" xfId="0" applyFont="1" applyBorder="1" applyAlignment="1">
      <alignment wrapText="1"/>
    </xf>
    <xf numFmtId="0" fontId="6" fillId="0" borderId="0" xfId="0" applyFont="1" applyAlignment="1" applyProtection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3" borderId="0" xfId="0" applyFill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wrapText="1"/>
    </xf>
    <xf numFmtId="2" fontId="5" fillId="2" borderId="6" xfId="0" applyNumberFormat="1" applyFont="1" applyFill="1" applyBorder="1" applyAlignment="1" applyProtection="1">
      <alignment horizontal="center" vertical="center"/>
    </xf>
    <xf numFmtId="164" fontId="5" fillId="2" borderId="6" xfId="4" applyNumberFormat="1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8" fontId="6" fillId="0" borderId="0" xfId="0" applyNumberFormat="1" applyFont="1" applyBorder="1" applyAlignment="1" applyProtection="1">
      <alignment horizontal="left" vertical="center"/>
    </xf>
    <xf numFmtId="164" fontId="5" fillId="2" borderId="32" xfId="4" applyNumberFormat="1" applyFont="1" applyFill="1" applyBorder="1" applyAlignment="1" applyProtection="1">
      <alignment horizontal="center" vertical="center"/>
    </xf>
    <xf numFmtId="10" fontId="6" fillId="0" borderId="25" xfId="0" applyNumberFormat="1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164" fontId="6" fillId="0" borderId="0" xfId="4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64" fontId="5" fillId="4" borderId="18" xfId="0" applyNumberFormat="1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left" vertical="center" wrapText="1"/>
    </xf>
    <xf numFmtId="2" fontId="6" fillId="0" borderId="45" xfId="0" applyNumberFormat="1" applyFont="1" applyBorder="1" applyAlignment="1" applyProtection="1">
      <alignment horizontal="center" vertical="center"/>
    </xf>
    <xf numFmtId="164" fontId="6" fillId="0" borderId="46" xfId="4" applyNumberFormat="1" applyFont="1" applyBorder="1" applyAlignment="1" applyProtection="1">
      <alignment horizontal="center" vertical="center"/>
    </xf>
    <xf numFmtId="164" fontId="6" fillId="0" borderId="45" xfId="4" applyNumberFormat="1" applyFont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left" vertical="center"/>
    </xf>
    <xf numFmtId="10" fontId="6" fillId="0" borderId="17" xfId="0" applyNumberFormat="1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</xf>
    <xf numFmtId="164" fontId="5" fillId="4" borderId="36" xfId="0" applyNumberFormat="1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left" vertical="center" wrapText="1"/>
    </xf>
    <xf numFmtId="2" fontId="6" fillId="0" borderId="52" xfId="0" applyNumberFormat="1" applyFont="1" applyBorder="1" applyAlignment="1" applyProtection="1">
      <alignment horizontal="center" vertical="center"/>
    </xf>
    <xf numFmtId="0" fontId="5" fillId="5" borderId="50" xfId="0" applyFont="1" applyFill="1" applyBorder="1" applyAlignment="1" applyProtection="1">
      <alignment horizontal="center" vertical="center"/>
    </xf>
    <xf numFmtId="0" fontId="5" fillId="5" borderId="53" xfId="0" applyFont="1" applyFill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left" vertical="center" wrapText="1"/>
    </xf>
    <xf numFmtId="2" fontId="6" fillId="0" borderId="56" xfId="0" applyNumberFormat="1" applyFont="1" applyBorder="1" applyAlignment="1" applyProtection="1">
      <alignment horizontal="center" vertical="center"/>
    </xf>
    <xf numFmtId="164" fontId="6" fillId="0" borderId="56" xfId="4" applyNumberFormat="1" applyFont="1" applyBorder="1" applyAlignment="1" applyProtection="1">
      <alignment horizontal="center" vertical="center"/>
      <protection locked="0"/>
    </xf>
    <xf numFmtId="164" fontId="6" fillId="0" borderId="57" xfId="4" applyNumberFormat="1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left" vertical="center" wrapText="1"/>
    </xf>
    <xf numFmtId="2" fontId="6" fillId="0" borderId="59" xfId="0" applyNumberFormat="1" applyFont="1" applyBorder="1" applyAlignment="1" applyProtection="1">
      <alignment horizontal="center" vertical="center"/>
    </xf>
    <xf numFmtId="164" fontId="6" fillId="0" borderId="59" xfId="4" applyNumberFormat="1" applyFont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left" vertical="center" wrapText="1"/>
    </xf>
    <xf numFmtId="2" fontId="6" fillId="0" borderId="45" xfId="0" applyNumberFormat="1" applyFont="1" applyFill="1" applyBorder="1" applyAlignment="1" applyProtection="1">
      <alignment horizontal="center" vertical="center"/>
    </xf>
    <xf numFmtId="164" fontId="6" fillId="0" borderId="45" xfId="4" applyNumberFormat="1" applyFont="1" applyFill="1" applyBorder="1" applyAlignment="1" applyProtection="1">
      <alignment horizontal="center" vertical="center"/>
      <protection locked="0"/>
    </xf>
    <xf numFmtId="164" fontId="6" fillId="0" borderId="46" xfId="4" applyNumberFormat="1" applyFont="1" applyFill="1" applyBorder="1" applyAlignment="1" applyProtection="1">
      <alignment horizontal="center" vertical="center"/>
    </xf>
    <xf numFmtId="0" fontId="7" fillId="0" borderId="45" xfId="1" applyNumberFormat="1" applyFont="1" applyFill="1" applyBorder="1" applyAlignment="1" applyProtection="1">
      <alignment horizontal="center" vertical="center"/>
    </xf>
    <xf numFmtId="164" fontId="7" fillId="0" borderId="45" xfId="4" applyNumberFormat="1" applyFont="1" applyFill="1" applyBorder="1" applyAlignment="1" applyProtection="1">
      <alignment horizontal="center" vertical="center"/>
      <protection locked="0"/>
    </xf>
    <xf numFmtId="0" fontId="7" fillId="0" borderId="45" xfId="1" applyFont="1" applyFill="1" applyBorder="1" applyAlignment="1" applyProtection="1">
      <alignment horizontal="center" vertical="center" wrapText="1"/>
    </xf>
    <xf numFmtId="164" fontId="7" fillId="0" borderId="45" xfId="4" applyNumberFormat="1" applyFont="1" applyFill="1" applyBorder="1" applyAlignment="1" applyProtection="1">
      <alignment horizontal="center" vertical="center" wrapText="1"/>
      <protection locked="0"/>
    </xf>
    <xf numFmtId="2" fontId="7" fillId="0" borderId="45" xfId="1" applyNumberFormat="1" applyFont="1" applyFill="1" applyBorder="1" applyAlignment="1" applyProtection="1">
      <alignment horizontal="center" vertical="center"/>
    </xf>
    <xf numFmtId="0" fontId="7" fillId="0" borderId="45" xfId="1" applyFont="1" applyFill="1" applyBorder="1" applyAlignment="1" applyProtection="1">
      <alignment horizontal="center" vertical="center"/>
    </xf>
    <xf numFmtId="0" fontId="7" fillId="0" borderId="45" xfId="1" applyNumberFormat="1" applyFont="1" applyFill="1" applyBorder="1" applyAlignment="1" applyProtection="1">
      <alignment horizontal="center" vertical="center" wrapText="1"/>
    </xf>
    <xf numFmtId="164" fontId="7" fillId="0" borderId="45" xfId="4" applyNumberFormat="1" applyFont="1" applyFill="1" applyBorder="1" applyAlignment="1" applyProtection="1">
      <alignment vertical="center"/>
      <protection locked="0"/>
    </xf>
    <xf numFmtId="0" fontId="6" fillId="0" borderId="56" xfId="0" applyFont="1" applyFill="1" applyBorder="1" applyAlignment="1" applyProtection="1">
      <alignment horizontal="center" vertical="center"/>
    </xf>
    <xf numFmtId="0" fontId="6" fillId="0" borderId="56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/>
    <xf numFmtId="0" fontId="1" fillId="0" borderId="24" xfId="0" applyFont="1" applyBorder="1" applyAlignment="1" applyProtection="1"/>
    <xf numFmtId="0" fontId="1" fillId="0" borderId="25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41" xfId="0" applyFont="1" applyFill="1" applyBorder="1" applyAlignment="1" applyProtection="1"/>
    <xf numFmtId="0" fontId="1" fillId="2" borderId="17" xfId="0" applyFont="1" applyFill="1" applyBorder="1" applyAlignment="1" applyProtection="1"/>
    <xf numFmtId="0" fontId="1" fillId="0" borderId="45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vertical="center" wrapText="1"/>
    </xf>
    <xf numFmtId="0" fontId="0" fillId="0" borderId="45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vertical="center" wrapText="1"/>
    </xf>
    <xf numFmtId="0" fontId="0" fillId="0" borderId="45" xfId="0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vertical="center" wrapText="1"/>
    </xf>
    <xf numFmtId="2" fontId="0" fillId="0" borderId="45" xfId="0" applyNumberFormat="1" applyFont="1" applyBorder="1" applyAlignment="1" applyProtection="1">
      <alignment horizontal="center" vertical="center"/>
    </xf>
    <xf numFmtId="2" fontId="1" fillId="5" borderId="47" xfId="0" applyNumberFormat="1" applyFont="1" applyFill="1" applyBorder="1" applyAlignment="1" applyProtection="1">
      <alignment horizontal="center" vertical="center"/>
    </xf>
    <xf numFmtId="2" fontId="0" fillId="0" borderId="45" xfId="0" applyNumberFormat="1" applyFont="1" applyBorder="1" applyAlignment="1" applyProtection="1">
      <alignment horizontal="center" vertical="center" wrapText="1"/>
    </xf>
    <xf numFmtId="0" fontId="0" fillId="0" borderId="52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10" fontId="0" fillId="0" borderId="15" xfId="3" applyNumberFormat="1" applyFont="1" applyBorder="1" applyAlignment="1">
      <alignment horizontal="center"/>
    </xf>
    <xf numFmtId="164" fontId="0" fillId="0" borderId="20" xfId="4" applyFont="1" applyFill="1" applyBorder="1"/>
    <xf numFmtId="164" fontId="1" fillId="0" borderId="10" xfId="4" applyFont="1" applyBorder="1"/>
    <xf numFmtId="164" fontId="0" fillId="0" borderId="10" xfId="4" applyFont="1" applyFill="1" applyBorder="1"/>
    <xf numFmtId="10" fontId="0" fillId="0" borderId="15" xfId="3" applyNumberFormat="1" applyFont="1" applyFill="1" applyBorder="1" applyAlignment="1">
      <alignment horizontal="center"/>
    </xf>
    <xf numFmtId="164" fontId="0" fillId="0" borderId="20" xfId="4" applyFont="1" applyBorder="1"/>
    <xf numFmtId="0" fontId="0" fillId="0" borderId="15" xfId="0" applyFont="1" applyFill="1" applyBorder="1"/>
    <xf numFmtId="169" fontId="0" fillId="0" borderId="15" xfId="3" applyNumberFormat="1" applyFont="1" applyFill="1" applyBorder="1" applyAlignment="1">
      <alignment horizontal="center"/>
    </xf>
    <xf numFmtId="0" fontId="0" fillId="0" borderId="20" xfId="0" applyFont="1" applyBorder="1"/>
    <xf numFmtId="10" fontId="0" fillId="0" borderId="14" xfId="3" applyNumberFormat="1" applyFont="1" applyBorder="1" applyAlignment="1">
      <alignment horizontal="center"/>
    </xf>
    <xf numFmtId="0" fontId="0" fillId="0" borderId="48" xfId="0" applyFont="1" applyBorder="1"/>
    <xf numFmtId="164" fontId="1" fillId="0" borderId="40" xfId="4" applyFont="1" applyBorder="1"/>
    <xf numFmtId="0" fontId="1" fillId="0" borderId="21" xfId="0" applyFont="1" applyBorder="1" applyAlignment="1">
      <alignment horizontal="center" vertical="center"/>
    </xf>
    <xf numFmtId="10" fontId="0" fillId="0" borderId="12" xfId="3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0" fontId="1" fillId="0" borderId="30" xfId="0" applyFont="1" applyBorder="1" applyAlignment="1" applyProtection="1"/>
    <xf numFmtId="0" fontId="1" fillId="0" borderId="31" xfId="0" applyFont="1" applyBorder="1" applyAlignment="1" applyProtection="1"/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/>
    <xf numFmtId="0" fontId="0" fillId="0" borderId="52" xfId="0" applyFont="1" applyBorder="1" applyAlignment="1" applyProtection="1">
      <alignment horizontal="center" vertical="center" wrapText="1"/>
    </xf>
    <xf numFmtId="0" fontId="0" fillId="0" borderId="63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vertical="center" wrapText="1"/>
    </xf>
    <xf numFmtId="0" fontId="0" fillId="0" borderId="65" xfId="0" applyFont="1" applyBorder="1" applyAlignment="1" applyProtection="1">
      <alignment horizontal="center" vertical="center" wrapText="1"/>
    </xf>
    <xf numFmtId="2" fontId="0" fillId="0" borderId="56" xfId="0" applyNumberFormat="1" applyFont="1" applyBorder="1" applyAlignment="1" applyProtection="1">
      <alignment horizontal="center" vertical="center" wrapText="1"/>
    </xf>
    <xf numFmtId="167" fontId="0" fillId="0" borderId="45" xfId="0" applyNumberFormat="1" applyFont="1" applyBorder="1" applyAlignment="1" applyProtection="1">
      <alignment horizontal="center" vertical="center" wrapText="1"/>
    </xf>
    <xf numFmtId="170" fontId="0" fillId="0" borderId="45" xfId="0" applyNumberFormat="1" applyFont="1" applyBorder="1" applyAlignment="1" applyProtection="1">
      <alignment horizontal="center" vertical="center" wrapText="1"/>
    </xf>
    <xf numFmtId="2" fontId="0" fillId="0" borderId="56" xfId="0" applyNumberFormat="1" applyFont="1" applyBorder="1" applyAlignment="1" applyProtection="1">
      <alignment horizontal="left" vertical="center" wrapText="1"/>
    </xf>
    <xf numFmtId="0" fontId="0" fillId="3" borderId="45" xfId="0" applyFont="1" applyFill="1" applyBorder="1" applyAlignment="1" applyProtection="1">
      <alignment horizontal="center" vertical="center" wrapText="1"/>
    </xf>
    <xf numFmtId="2" fontId="0" fillId="3" borderId="56" xfId="0" applyNumberFormat="1" applyFont="1" applyFill="1" applyBorder="1" applyAlignment="1" applyProtection="1">
      <alignment horizontal="center" vertical="center" wrapText="1"/>
    </xf>
    <xf numFmtId="2" fontId="1" fillId="3" borderId="56" xfId="0" applyNumberFormat="1" applyFont="1" applyFill="1" applyBorder="1" applyAlignment="1" applyProtection="1">
      <alignment horizontal="center" vertical="center" wrapText="1"/>
    </xf>
    <xf numFmtId="2" fontId="0" fillId="3" borderId="56" xfId="0" applyNumberFormat="1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center" vertical="center"/>
    </xf>
    <xf numFmtId="2" fontId="1" fillId="0" borderId="56" xfId="0" applyNumberFormat="1" applyFont="1" applyBorder="1" applyAlignment="1" applyProtection="1">
      <alignment horizontal="center" vertical="center" wrapText="1"/>
    </xf>
    <xf numFmtId="2" fontId="0" fillId="3" borderId="6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vertical="center" wrapText="1"/>
    </xf>
    <xf numFmtId="2" fontId="1" fillId="2" borderId="17" xfId="0" applyNumberFormat="1" applyFont="1" applyFill="1" applyBorder="1" applyAlignment="1" applyProtection="1"/>
    <xf numFmtId="164" fontId="6" fillId="0" borderId="52" xfId="4" applyFont="1" applyBorder="1" applyAlignment="1" applyProtection="1">
      <alignment horizontal="center" vertical="center"/>
      <protection locked="0"/>
    </xf>
    <xf numFmtId="164" fontId="6" fillId="0" borderId="46" xfId="4" applyFont="1" applyBorder="1" applyAlignment="1" applyProtection="1">
      <alignment horizontal="center" vertical="center"/>
    </xf>
    <xf numFmtId="164" fontId="6" fillId="0" borderId="45" xfId="4" applyFont="1" applyBorder="1" applyAlignment="1" applyProtection="1">
      <alignment horizontal="center" vertical="center"/>
      <protection locked="0"/>
    </xf>
    <xf numFmtId="2" fontId="0" fillId="3" borderId="45" xfId="0" applyNumberFormat="1" applyFont="1" applyFill="1" applyBorder="1" applyAlignment="1" applyProtection="1">
      <alignment horizontal="center" vertical="center" wrapText="1"/>
    </xf>
    <xf numFmtId="171" fontId="0" fillId="3" borderId="56" xfId="0" applyNumberFormat="1" applyFont="1" applyFill="1" applyBorder="1" applyAlignment="1" applyProtection="1">
      <alignment horizontal="center" vertical="center" wrapText="1"/>
    </xf>
    <xf numFmtId="2" fontId="0" fillId="0" borderId="63" xfId="0" applyNumberFormat="1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vertical="center" wrapText="1"/>
    </xf>
    <xf numFmtId="0" fontId="0" fillId="0" borderId="56" xfId="0" applyFont="1" applyBorder="1" applyAlignment="1" applyProtection="1">
      <alignment vertical="center" wrapText="1"/>
    </xf>
    <xf numFmtId="2" fontId="1" fillId="0" borderId="64" xfId="0" applyNumberFormat="1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7" fillId="0" borderId="45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wrapText="1"/>
    </xf>
    <xf numFmtId="164" fontId="6" fillId="0" borderId="45" xfId="4" applyNumberFormat="1" applyFont="1" applyBorder="1" applyAlignment="1" applyProtection="1">
      <alignment horizontal="centerContinuous" vertical="center"/>
      <protection locked="0"/>
    </xf>
    <xf numFmtId="164" fontId="6" fillId="0" borderId="59" xfId="4" applyNumberFormat="1" applyFont="1" applyBorder="1" applyAlignment="1" applyProtection="1">
      <alignment horizontal="centerContinuous" vertical="center"/>
      <protection locked="0"/>
    </xf>
    <xf numFmtId="0" fontId="1" fillId="0" borderId="0" xfId="0" applyFont="1"/>
    <xf numFmtId="0" fontId="5" fillId="0" borderId="45" xfId="0" applyFont="1" applyBorder="1" applyAlignment="1" applyProtection="1">
      <alignment horizontal="left" vertical="center" wrapText="1"/>
    </xf>
    <xf numFmtId="164" fontId="0" fillId="0" borderId="0" xfId="0" applyNumberFormat="1" applyProtection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5" xfId="0" applyFont="1" applyBorder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0" fillId="0" borderId="0" xfId="0" applyFont="1" applyBorder="1" applyAlignment="1">
      <alignment horizontal="left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Border="1" applyAlignment="1"/>
    <xf numFmtId="0" fontId="0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center"/>
    </xf>
    <xf numFmtId="4" fontId="9" fillId="0" borderId="33" xfId="7" applyNumberFormat="1" applyFont="1" applyBorder="1" applyAlignment="1">
      <alignment horizontal="center" vertical="center"/>
    </xf>
    <xf numFmtId="0" fontId="0" fillId="3" borderId="20" xfId="0" applyFont="1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0" xfId="0" applyFont="1" applyBorder="1"/>
    <xf numFmtId="0" fontId="0" fillId="0" borderId="24" xfId="0" applyBorder="1"/>
    <xf numFmtId="0" fontId="1" fillId="0" borderId="25" xfId="0" applyFont="1" applyBorder="1"/>
    <xf numFmtId="0" fontId="1" fillId="5" borderId="12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9" fontId="0" fillId="0" borderId="15" xfId="3" applyFont="1" applyFill="1" applyBorder="1" applyAlignment="1">
      <alignment horizontal="center" vertical="center"/>
    </xf>
    <xf numFmtId="10" fontId="0" fillId="0" borderId="15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6" fillId="0" borderId="45" xfId="4" applyFont="1" applyBorder="1" applyAlignment="1" applyProtection="1">
      <alignment horizontal="center" vertical="center"/>
      <protection locked="0"/>
    </xf>
    <xf numFmtId="2" fontId="6" fillId="3" borderId="45" xfId="0" applyNumberFormat="1" applyFont="1" applyFill="1" applyBorder="1" applyAlignment="1" applyProtection="1">
      <alignment horizontal="center" vertical="center"/>
    </xf>
    <xf numFmtId="164" fontId="6" fillId="0" borderId="56" xfId="4" applyNumberFormat="1" applyFont="1" applyBorder="1" applyAlignment="1" applyProtection="1">
      <alignment horizontal="centerContinuous" vertical="center"/>
      <protection locked="0"/>
    </xf>
    <xf numFmtId="164" fontId="6" fillId="0" borderId="68" xfId="4" applyNumberFormat="1" applyFont="1" applyBorder="1" applyAlignment="1" applyProtection="1">
      <alignment horizontal="center" vertical="center"/>
    </xf>
    <xf numFmtId="164" fontId="6" fillId="0" borderId="47" xfId="4" applyNumberFormat="1" applyFont="1" applyBorder="1" applyAlignment="1" applyProtection="1">
      <alignment horizontal="centerContinuous" vertical="center"/>
      <protection locked="0"/>
    </xf>
    <xf numFmtId="164" fontId="6" fillId="0" borderId="69" xfId="4" applyNumberFormat="1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</xf>
    <xf numFmtId="0" fontId="5" fillId="0" borderId="70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7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5" fillId="0" borderId="5" xfId="0" applyFont="1" applyBorder="1" applyAlignment="1" applyProtection="1">
      <alignment horizontal="center" vertical="center"/>
    </xf>
    <xf numFmtId="0" fontId="15" fillId="0" borderId="0" xfId="0" applyFont="1"/>
    <xf numFmtId="10" fontId="15" fillId="0" borderId="0" xfId="0" applyNumberFormat="1" applyFont="1"/>
    <xf numFmtId="166" fontId="16" fillId="0" borderId="0" xfId="0" applyNumberFormat="1" applyFont="1" applyProtection="1"/>
    <xf numFmtId="0" fontId="16" fillId="0" borderId="0" xfId="0" applyFont="1" applyProtection="1"/>
    <xf numFmtId="0" fontId="16" fillId="0" borderId="0" xfId="0" applyFont="1"/>
    <xf numFmtId="166" fontId="16" fillId="0" borderId="0" xfId="0" applyNumberFormat="1" applyFont="1" applyAlignment="1" applyProtection="1"/>
    <xf numFmtId="166" fontId="16" fillId="0" borderId="0" xfId="0" applyNumberFormat="1" applyFont="1"/>
    <xf numFmtId="0" fontId="0" fillId="0" borderId="0" xfId="0" applyBorder="1" applyAlignment="1">
      <alignment horizontal="center" vertical="center"/>
    </xf>
    <xf numFmtId="4" fontId="8" fillId="0" borderId="0" xfId="0" applyNumberFormat="1" applyFont="1" applyBorder="1" applyAlignment="1">
      <alignment horizontal="center"/>
    </xf>
    <xf numFmtId="0" fontId="0" fillId="0" borderId="0" xfId="0" applyFont="1" applyBorder="1"/>
    <xf numFmtId="4" fontId="12" fillId="0" borderId="0" xfId="0" applyNumberFormat="1" applyFont="1" applyBorder="1" applyAlignment="1">
      <alignment horizontal="center"/>
    </xf>
    <xf numFmtId="0" fontId="5" fillId="4" borderId="16" xfId="0" applyFont="1" applyFill="1" applyBorder="1" applyAlignment="1" applyProtection="1">
      <alignment horizontal="right" vertical="center"/>
    </xf>
    <xf numFmtId="0" fontId="5" fillId="4" borderId="17" xfId="0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5" borderId="50" xfId="0" applyFont="1" applyFill="1" applyBorder="1" applyAlignment="1" applyProtection="1">
      <alignment horizontal="left" vertical="center"/>
    </xf>
    <xf numFmtId="0" fontId="5" fillId="5" borderId="54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4" borderId="49" xfId="0" applyFont="1" applyFill="1" applyBorder="1" applyAlignment="1" applyProtection="1">
      <alignment horizontal="right" vertical="center"/>
    </xf>
    <xf numFmtId="0" fontId="5" fillId="4" borderId="35" xfId="0" applyFont="1" applyFill="1" applyBorder="1" applyAlignment="1" applyProtection="1">
      <alignment horizontal="right" vertical="center"/>
    </xf>
    <xf numFmtId="164" fontId="6" fillId="0" borderId="45" xfId="4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5" borderId="61" xfId="0" applyFont="1" applyFill="1" applyBorder="1" applyAlignment="1" applyProtection="1">
      <alignment horizontal="right" vertical="center"/>
    </xf>
    <xf numFmtId="0" fontId="1" fillId="5" borderId="43" xfId="0" applyFont="1" applyFill="1" applyBorder="1" applyAlignment="1" applyProtection="1">
      <alignment horizontal="right" vertical="center"/>
    </xf>
    <xf numFmtId="0" fontId="1" fillId="5" borderId="62" xfId="0" applyFont="1" applyFill="1" applyBorder="1" applyAlignment="1" applyProtection="1">
      <alignment horizontal="right" vertical="center"/>
    </xf>
    <xf numFmtId="0" fontId="1" fillId="5" borderId="66" xfId="0" applyFont="1" applyFill="1" applyBorder="1" applyAlignment="1" applyProtection="1">
      <alignment horizontal="right" vertical="center"/>
    </xf>
    <xf numFmtId="0" fontId="1" fillId="5" borderId="34" xfId="0" applyFont="1" applyFill="1" applyBorder="1" applyAlignment="1" applyProtection="1">
      <alignment horizontal="right" vertical="center"/>
    </xf>
    <xf numFmtId="0" fontId="1" fillId="5" borderId="67" xfId="0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0" fillId="0" borderId="37" xfId="0" applyFont="1" applyBorder="1"/>
    <xf numFmtId="0" fontId="0" fillId="0" borderId="22" xfId="0" applyFont="1" applyBorder="1"/>
    <xf numFmtId="0" fontId="0" fillId="0" borderId="2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</cellXfs>
  <cellStyles count="8">
    <cellStyle name="Moeda" xfId="4" builtinId="4"/>
    <cellStyle name="Moeda 2" xfId="2" xr:uid="{00000000-0005-0000-0000-000001000000}"/>
    <cellStyle name="Normal" xfId="0" builtinId="0"/>
    <cellStyle name="Normal 3" xfId="1" xr:uid="{00000000-0005-0000-0000-000003000000}"/>
    <cellStyle name="Normal 4" xfId="5" xr:uid="{00000000-0005-0000-0000-000004000000}"/>
    <cellStyle name="Porcentagem" xfId="3" builtinId="5"/>
    <cellStyle name="Vírgula" xfId="7" builtinId="3"/>
    <cellStyle name="Vírgula 5" xfId="6" xr:uid="{00000000-0005-0000-0000-000007000000}"/>
  </cellStyles>
  <dxfs count="23">
    <dxf>
      <fill>
        <patternFill>
          <bgColor theme="1" tint="0.24994659260841701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1181100</xdr:colOff>
      <xdr:row>8</xdr:row>
      <xdr:rowOff>38497</xdr:rowOff>
    </xdr:to>
    <xdr:pic>
      <xdr:nvPicPr>
        <xdr:cNvPr id="3" name="Imagem 2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781175" cy="1410097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173648</xdr:colOff>
      <xdr:row>0</xdr:row>
      <xdr:rowOff>114300</xdr:rowOff>
    </xdr:from>
    <xdr:to>
      <xdr:col>3</xdr:col>
      <xdr:colOff>2361545</xdr:colOff>
      <xdr:row>7</xdr:row>
      <xdr:rowOff>322385</xdr:rowOff>
    </xdr:to>
    <xdr:pic>
      <xdr:nvPicPr>
        <xdr:cNvPr id="7" name="Imagem 6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994" y="114300"/>
          <a:ext cx="2187897" cy="173208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937460</xdr:colOff>
      <xdr:row>8</xdr:row>
      <xdr:rowOff>123825</xdr:rowOff>
    </xdr:to>
    <xdr:pic>
      <xdr:nvPicPr>
        <xdr:cNvPr id="3" name="Imagem 2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BE510F55-ACAF-4DFD-B3A4-3DE5E83C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985210" cy="157162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1846345</xdr:colOff>
      <xdr:row>8</xdr:row>
      <xdr:rowOff>76200</xdr:rowOff>
    </xdr:to>
    <xdr:pic>
      <xdr:nvPicPr>
        <xdr:cNvPr id="3" name="Imagem 2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CF57DDE-E558-46C7-8914-E5670256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141620" cy="169545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9"/>
  <sheetViews>
    <sheetView showGridLines="0" tabSelected="1" zoomScale="85" zoomScaleNormal="85" workbookViewId="0">
      <selection activeCell="G280" sqref="G280:H286"/>
    </sheetView>
  </sheetViews>
  <sheetFormatPr defaultColWidth="8.85546875" defaultRowHeight="15.75" x14ac:dyDescent="0.25"/>
  <cols>
    <col min="1" max="1" width="9" style="10" customWidth="1"/>
    <col min="2" max="2" width="18.5703125" style="10" customWidth="1"/>
    <col min="3" max="3" width="11.140625" style="10" customWidth="1"/>
    <col min="4" max="4" width="77.140625" style="55" bestFit="1" customWidth="1"/>
    <col min="5" max="5" width="10.140625" style="9" bestFit="1" customWidth="1"/>
    <col min="6" max="6" width="8.5703125" style="10" customWidth="1"/>
    <col min="7" max="7" width="16.140625" style="11" customWidth="1"/>
    <col min="8" max="8" width="16.85546875" style="11" bestFit="1" customWidth="1"/>
    <col min="9" max="9" width="18.7109375" style="11" customWidth="1"/>
    <col min="10" max="11" width="12.7109375" style="280" bestFit="1" customWidth="1"/>
    <col min="12" max="12" width="12.7109375" style="281" bestFit="1" customWidth="1"/>
    <col min="13" max="13" width="10.5703125" style="7" bestFit="1" customWidth="1"/>
    <col min="14" max="16384" width="8.85546875" style="7"/>
  </cols>
  <sheetData>
    <row r="1" spans="1:13" x14ac:dyDescent="0.25">
      <c r="A1" s="82"/>
      <c r="B1" s="272"/>
      <c r="C1" s="294" t="s">
        <v>0</v>
      </c>
      <c r="D1" s="294"/>
      <c r="E1" s="294"/>
      <c r="F1" s="294"/>
      <c r="G1" s="294"/>
      <c r="H1" s="294"/>
      <c r="I1" s="295"/>
    </row>
    <row r="2" spans="1:13" x14ac:dyDescent="0.25">
      <c r="A2" s="83"/>
      <c r="B2" s="273"/>
      <c r="C2" s="296" t="s">
        <v>437</v>
      </c>
      <c r="D2" s="296"/>
      <c r="E2" s="296"/>
      <c r="F2" s="296"/>
      <c r="G2" s="296"/>
      <c r="H2" s="296"/>
      <c r="I2" s="297"/>
    </row>
    <row r="3" spans="1:13" x14ac:dyDescent="0.25">
      <c r="A3" s="83"/>
      <c r="B3" s="273"/>
      <c r="C3" s="270" t="s">
        <v>431</v>
      </c>
      <c r="D3" s="77" t="s">
        <v>1</v>
      </c>
      <c r="E3" s="61"/>
      <c r="F3" s="61"/>
      <c r="G3" s="61"/>
      <c r="H3" s="61"/>
      <c r="I3" s="62"/>
    </row>
    <row r="4" spans="1:13" ht="14.25" customHeight="1" x14ac:dyDescent="0.25">
      <c r="A4" s="83"/>
      <c r="B4" s="273"/>
      <c r="C4" s="270" t="s">
        <v>433</v>
      </c>
      <c r="D4" s="76" t="s">
        <v>440</v>
      </c>
      <c r="E4" s="76"/>
      <c r="F4" s="76"/>
      <c r="G4" s="68"/>
      <c r="H4" s="68"/>
      <c r="I4" s="62"/>
    </row>
    <row r="5" spans="1:13" x14ac:dyDescent="0.25">
      <c r="A5" s="83"/>
      <c r="B5" s="273"/>
      <c r="C5" s="270" t="s">
        <v>432</v>
      </c>
      <c r="D5" s="77">
        <v>2021005210</v>
      </c>
      <c r="E5" s="76"/>
      <c r="F5" s="76"/>
      <c r="G5" s="86"/>
      <c r="H5" s="68"/>
      <c r="I5" s="62"/>
    </row>
    <row r="6" spans="1:13" x14ac:dyDescent="0.25">
      <c r="A6" s="83"/>
      <c r="B6" s="273"/>
      <c r="C6" s="270" t="s">
        <v>434</v>
      </c>
      <c r="D6" s="76" t="s">
        <v>428</v>
      </c>
      <c r="E6" s="76"/>
      <c r="F6" s="76"/>
      <c r="G6" s="68"/>
      <c r="H6" s="68"/>
      <c r="I6" s="62"/>
    </row>
    <row r="7" spans="1:13" x14ac:dyDescent="0.25">
      <c r="A7" s="83"/>
      <c r="B7" s="273"/>
      <c r="C7" s="270" t="s">
        <v>435</v>
      </c>
      <c r="D7" s="76" t="s">
        <v>700</v>
      </c>
      <c r="E7" s="76"/>
      <c r="F7" s="76"/>
      <c r="G7" s="68"/>
      <c r="H7" s="68"/>
      <c r="I7" s="62"/>
    </row>
    <row r="8" spans="1:13" x14ac:dyDescent="0.25">
      <c r="A8" s="83"/>
      <c r="B8" s="273"/>
      <c r="C8" s="270"/>
      <c r="D8" s="76" t="s">
        <v>786</v>
      </c>
      <c r="E8" s="76"/>
      <c r="F8" s="76"/>
      <c r="G8" s="68"/>
      <c r="H8" s="68"/>
      <c r="I8" s="277"/>
    </row>
    <row r="9" spans="1:13" x14ac:dyDescent="0.25">
      <c r="A9" s="83"/>
      <c r="B9" s="273"/>
      <c r="C9" s="270" t="s">
        <v>436</v>
      </c>
      <c r="D9" s="78" t="s">
        <v>438</v>
      </c>
      <c r="E9" s="76"/>
      <c r="F9" s="76"/>
      <c r="G9" s="68"/>
      <c r="H9" s="68"/>
      <c r="I9" s="62"/>
    </row>
    <row r="10" spans="1:13" ht="16.5" thickBot="1" x14ac:dyDescent="0.3">
      <c r="A10" s="84"/>
      <c r="B10" s="274"/>
      <c r="C10" s="271" t="s">
        <v>377</v>
      </c>
      <c r="D10" s="80">
        <v>0.26300000000000001</v>
      </c>
      <c r="E10" s="81"/>
      <c r="F10" s="81"/>
      <c r="G10" s="81"/>
      <c r="H10" s="75"/>
      <c r="I10" s="87"/>
    </row>
    <row r="11" spans="1:13" ht="16.5" thickBot="1" x14ac:dyDescent="0.3">
      <c r="A11" s="106"/>
      <c r="B11" s="107"/>
      <c r="C11" s="108"/>
      <c r="D11" s="109"/>
      <c r="E11" s="110"/>
      <c r="F11" s="110"/>
      <c r="G11" s="110"/>
      <c r="H11" s="107"/>
      <c r="I11" s="111"/>
    </row>
    <row r="12" spans="1:13" ht="16.5" thickBot="1" x14ac:dyDescent="0.3">
      <c r="A12" s="69" t="s">
        <v>2</v>
      </c>
      <c r="B12" s="70" t="s">
        <v>429</v>
      </c>
      <c r="C12" s="71" t="s">
        <v>430</v>
      </c>
      <c r="D12" s="72" t="s">
        <v>3</v>
      </c>
      <c r="E12" s="73" t="s">
        <v>4</v>
      </c>
      <c r="F12" s="69" t="s">
        <v>5</v>
      </c>
      <c r="G12" s="74" t="s">
        <v>6</v>
      </c>
      <c r="H12" s="74" t="s">
        <v>7</v>
      </c>
      <c r="I12" s="74" t="s">
        <v>8</v>
      </c>
      <c r="L12" s="282"/>
    </row>
    <row r="13" spans="1:13" x14ac:dyDescent="0.25">
      <c r="A13" s="119">
        <v>1</v>
      </c>
      <c r="B13" s="118" t="s">
        <v>9</v>
      </c>
      <c r="C13" s="118">
        <v>20000</v>
      </c>
      <c r="D13" s="292" t="s">
        <v>10</v>
      </c>
      <c r="E13" s="292"/>
      <c r="F13" s="292"/>
      <c r="G13" s="292"/>
      <c r="H13" s="292"/>
      <c r="I13" s="293"/>
    </row>
    <row r="14" spans="1:13" x14ac:dyDescent="0.25">
      <c r="A14" s="113" t="s">
        <v>11</v>
      </c>
      <c r="B14" s="114" t="s">
        <v>9</v>
      </c>
      <c r="C14" s="115">
        <v>20190</v>
      </c>
      <c r="D14" s="116" t="s">
        <v>44</v>
      </c>
      <c r="E14" s="117">
        <f>'MEMÓRIA DE CÁLCULO'!D16</f>
        <v>573.5</v>
      </c>
      <c r="F14" s="114" t="s">
        <v>15</v>
      </c>
      <c r="G14" s="216"/>
      <c r="H14" s="216"/>
      <c r="I14" s="217">
        <f t="shared" ref="I14:I20" si="0">(G14+H14)*E14</f>
        <v>0</v>
      </c>
      <c r="J14" s="280">
        <f>G14*E14</f>
        <v>0</v>
      </c>
      <c r="K14" s="280">
        <f>H14*E14</f>
        <v>0</v>
      </c>
      <c r="L14" s="280">
        <f>K14+J14</f>
        <v>0</v>
      </c>
    </row>
    <row r="15" spans="1:13" ht="31.5" x14ac:dyDescent="0.25">
      <c r="A15" s="98" t="s">
        <v>13</v>
      </c>
      <c r="B15" s="99" t="s">
        <v>45</v>
      </c>
      <c r="C15" s="99">
        <v>10776</v>
      </c>
      <c r="D15" s="100" t="s">
        <v>46</v>
      </c>
      <c r="E15" s="101">
        <f>'MEMÓRIA DE CÁLCULO'!D19</f>
        <v>6</v>
      </c>
      <c r="F15" s="99" t="s">
        <v>380</v>
      </c>
      <c r="G15" s="300"/>
      <c r="H15" s="300"/>
      <c r="I15" s="217">
        <f t="shared" si="0"/>
        <v>0</v>
      </c>
      <c r="J15" s="280">
        <f>G15*E15</f>
        <v>0</v>
      </c>
      <c r="K15" s="280">
        <f>H15*E15</f>
        <v>0</v>
      </c>
      <c r="L15" s="280">
        <f t="shared" ref="L15:L78" si="1">K15+J15</f>
        <v>0</v>
      </c>
      <c r="M15" s="237"/>
    </row>
    <row r="16" spans="1:13" ht="47.25" x14ac:dyDescent="0.25">
      <c r="A16" s="113" t="s">
        <v>14</v>
      </c>
      <c r="B16" s="99" t="s">
        <v>9</v>
      </c>
      <c r="C16" s="99">
        <v>20701</v>
      </c>
      <c r="D16" s="100" t="s">
        <v>47</v>
      </c>
      <c r="E16" s="101">
        <f>'MEMÓRIA DE CÁLCULO'!D23</f>
        <v>253.79999999999998</v>
      </c>
      <c r="F16" s="99" t="s">
        <v>15</v>
      </c>
      <c r="G16" s="264"/>
      <c r="H16" s="264"/>
      <c r="I16" s="217">
        <f t="shared" si="0"/>
        <v>0</v>
      </c>
      <c r="J16" s="280">
        <f>G16*E16</f>
        <v>0</v>
      </c>
      <c r="K16" s="280">
        <f>H16*E16</f>
        <v>0</v>
      </c>
      <c r="L16" s="280">
        <f t="shared" si="1"/>
        <v>0</v>
      </c>
      <c r="M16" s="237"/>
    </row>
    <row r="17" spans="1:13" ht="31.5" x14ac:dyDescent="0.25">
      <c r="A17" s="98" t="s">
        <v>16</v>
      </c>
      <c r="B17" s="99" t="s">
        <v>9</v>
      </c>
      <c r="C17" s="99">
        <v>21301</v>
      </c>
      <c r="D17" s="100" t="s">
        <v>48</v>
      </c>
      <c r="E17" s="101">
        <f>'MEMÓRIA DE CÁLCULO'!D27</f>
        <v>3</v>
      </c>
      <c r="F17" s="99" t="s">
        <v>15</v>
      </c>
      <c r="G17" s="218"/>
      <c r="H17" s="218"/>
      <c r="I17" s="217">
        <f t="shared" si="0"/>
        <v>0</v>
      </c>
      <c r="J17" s="280">
        <f t="shared" ref="J17:J76" si="2">G17*E17</f>
        <v>0</v>
      </c>
      <c r="K17" s="280">
        <f t="shared" ref="K17:K76" si="3">H17*E17</f>
        <v>0</v>
      </c>
      <c r="L17" s="280">
        <f t="shared" si="1"/>
        <v>0</v>
      </c>
      <c r="M17" s="237"/>
    </row>
    <row r="18" spans="1:13" x14ac:dyDescent="0.25">
      <c r="A18" s="113" t="s">
        <v>17</v>
      </c>
      <c r="B18" s="99" t="s">
        <v>9</v>
      </c>
      <c r="C18" s="99">
        <v>21400</v>
      </c>
      <c r="D18" s="100" t="str">
        <f>'MEMÓRIA DE CÁLCULO'!B28</f>
        <v>CONSUMO DE ÁGUA</v>
      </c>
      <c r="E18" s="101">
        <f>'MEMÓRIA DE CÁLCULO'!D31</f>
        <v>117.45863999999999</v>
      </c>
      <c r="F18" s="99" t="s">
        <v>66</v>
      </c>
      <c r="G18" s="218"/>
      <c r="H18" s="218"/>
      <c r="I18" s="217">
        <f t="shared" si="0"/>
        <v>0</v>
      </c>
      <c r="J18" s="280">
        <f t="shared" si="2"/>
        <v>0</v>
      </c>
      <c r="K18" s="280">
        <f t="shared" si="3"/>
        <v>0</v>
      </c>
      <c r="L18" s="280">
        <f t="shared" si="1"/>
        <v>0</v>
      </c>
      <c r="M18" s="237"/>
    </row>
    <row r="19" spans="1:13" x14ac:dyDescent="0.25">
      <c r="A19" s="98" t="s">
        <v>49</v>
      </c>
      <c r="B19" s="99" t="s">
        <v>9</v>
      </c>
      <c r="C19" s="99">
        <v>21401</v>
      </c>
      <c r="D19" s="100" t="str">
        <f>'MEMÓRIA DE CÁLCULO'!B32</f>
        <v>CONSUMO DE ENERGIA ELÉTRICA</v>
      </c>
      <c r="E19" s="101">
        <f>'MEMÓRIA DE CÁLCULO'!D35</f>
        <v>836.31414599999994</v>
      </c>
      <c r="F19" s="99" t="s">
        <v>783</v>
      </c>
      <c r="G19" s="218"/>
      <c r="H19" s="218"/>
      <c r="I19" s="217">
        <f t="shared" si="0"/>
        <v>0</v>
      </c>
      <c r="J19" s="280">
        <f t="shared" si="2"/>
        <v>0</v>
      </c>
      <c r="K19" s="280">
        <f t="shared" si="3"/>
        <v>0</v>
      </c>
      <c r="L19" s="280">
        <f t="shared" si="1"/>
        <v>0</v>
      </c>
      <c r="M19" s="237"/>
    </row>
    <row r="20" spans="1:13" ht="48" thickBot="1" x14ac:dyDescent="0.3">
      <c r="A20" s="113" t="s">
        <v>50</v>
      </c>
      <c r="B20" s="99" t="s">
        <v>9</v>
      </c>
      <c r="C20" s="99">
        <v>21602</v>
      </c>
      <c r="D20" s="100" t="s">
        <v>672</v>
      </c>
      <c r="E20" s="101">
        <f>'MEMÓRIA DE CÁLCULO'!D38</f>
        <v>253.79999999999998</v>
      </c>
      <c r="F20" s="99" t="s">
        <v>254</v>
      </c>
      <c r="G20" s="218"/>
      <c r="H20" s="218"/>
      <c r="I20" s="217">
        <f t="shared" si="0"/>
        <v>0</v>
      </c>
      <c r="J20" s="280">
        <f t="shared" si="2"/>
        <v>0</v>
      </c>
      <c r="K20" s="280">
        <f t="shared" si="3"/>
        <v>0</v>
      </c>
      <c r="L20" s="280">
        <f t="shared" si="1"/>
        <v>0</v>
      </c>
      <c r="M20" s="237"/>
    </row>
    <row r="21" spans="1:13" x14ac:dyDescent="0.25">
      <c r="A21" s="298" t="s">
        <v>439</v>
      </c>
      <c r="B21" s="299"/>
      <c r="C21" s="299"/>
      <c r="D21" s="299"/>
      <c r="E21" s="299"/>
      <c r="F21" s="299"/>
      <c r="G21" s="299"/>
      <c r="H21" s="299"/>
      <c r="I21" s="112">
        <f>ROUND(SUM(I14:I20),2)</f>
        <v>0</v>
      </c>
      <c r="J21" s="280">
        <f t="shared" si="2"/>
        <v>0</v>
      </c>
      <c r="K21" s="280">
        <f t="shared" si="3"/>
        <v>0</v>
      </c>
      <c r="L21" s="280">
        <f t="shared" si="1"/>
        <v>0</v>
      </c>
    </row>
    <row r="22" spans="1:13" ht="16.5" thickBot="1" x14ac:dyDescent="0.3">
      <c r="A22" s="104" t="s">
        <v>2</v>
      </c>
      <c r="B22" s="104" t="s">
        <v>429</v>
      </c>
      <c r="C22" s="104" t="s">
        <v>430</v>
      </c>
      <c r="D22" s="105" t="s">
        <v>3</v>
      </c>
      <c r="E22" s="104" t="s">
        <v>4</v>
      </c>
      <c r="F22" s="104" t="s">
        <v>5</v>
      </c>
      <c r="G22" s="104" t="s">
        <v>6</v>
      </c>
      <c r="H22" s="104" t="s">
        <v>7</v>
      </c>
      <c r="I22" s="79" t="s">
        <v>8</v>
      </c>
      <c r="L22" s="280">
        <f t="shared" si="1"/>
        <v>0</v>
      </c>
    </row>
    <row r="23" spans="1:13" x14ac:dyDescent="0.25">
      <c r="A23" s="119">
        <v>2</v>
      </c>
      <c r="B23" s="118" t="s">
        <v>9</v>
      </c>
      <c r="C23" s="118">
        <v>30000</v>
      </c>
      <c r="D23" s="292" t="s">
        <v>18</v>
      </c>
      <c r="E23" s="292"/>
      <c r="F23" s="292"/>
      <c r="G23" s="292"/>
      <c r="H23" s="292"/>
      <c r="I23" s="293"/>
      <c r="J23" s="280">
        <f t="shared" si="2"/>
        <v>0</v>
      </c>
      <c r="K23" s="280">
        <f t="shared" si="3"/>
        <v>0</v>
      </c>
      <c r="L23" s="280">
        <f t="shared" si="1"/>
        <v>0</v>
      </c>
    </row>
    <row r="24" spans="1:13" x14ac:dyDescent="0.25">
      <c r="A24" s="113" t="s">
        <v>19</v>
      </c>
      <c r="B24" s="99" t="s">
        <v>9</v>
      </c>
      <c r="C24" s="99">
        <v>30106</v>
      </c>
      <c r="D24" s="100" t="s">
        <v>394</v>
      </c>
      <c r="E24" s="101">
        <f>'MEMÓRIA DE CÁLCULO'!D44</f>
        <v>38.069999999999993</v>
      </c>
      <c r="F24" s="99" t="s">
        <v>66</v>
      </c>
      <c r="G24" s="218"/>
      <c r="H24" s="218"/>
      <c r="I24" s="217">
        <f>(G24+H24)*E24</f>
        <v>0</v>
      </c>
      <c r="J24" s="280">
        <f t="shared" si="2"/>
        <v>0</v>
      </c>
      <c r="K24" s="280">
        <f t="shared" si="3"/>
        <v>0</v>
      </c>
      <c r="L24" s="280">
        <f t="shared" si="1"/>
        <v>0</v>
      </c>
    </row>
    <row r="25" spans="1:13" ht="32.25" thickBot="1" x14ac:dyDescent="0.3">
      <c r="A25" s="98" t="s">
        <v>392</v>
      </c>
      <c r="B25" s="99" t="s">
        <v>9</v>
      </c>
      <c r="C25" s="99">
        <v>30105</v>
      </c>
      <c r="D25" s="100" t="s">
        <v>393</v>
      </c>
      <c r="E25" s="101">
        <f>'MEMÓRIA DE CÁLCULO'!D48</f>
        <v>12.69</v>
      </c>
      <c r="F25" s="99" t="s">
        <v>55</v>
      </c>
      <c r="G25" s="218"/>
      <c r="H25" s="218"/>
      <c r="I25" s="217">
        <f>(G25+H25)*E25</f>
        <v>0</v>
      </c>
      <c r="J25" s="280">
        <f t="shared" si="2"/>
        <v>0</v>
      </c>
      <c r="K25" s="280">
        <f t="shared" si="3"/>
        <v>0</v>
      </c>
      <c r="L25" s="280">
        <f t="shared" si="1"/>
        <v>0</v>
      </c>
    </row>
    <row r="26" spans="1:13" ht="16.5" thickBot="1" x14ac:dyDescent="0.3">
      <c r="A26" s="289" t="s">
        <v>439</v>
      </c>
      <c r="B26" s="290"/>
      <c r="C26" s="290"/>
      <c r="D26" s="290"/>
      <c r="E26" s="290"/>
      <c r="F26" s="290"/>
      <c r="G26" s="290"/>
      <c r="H26" s="290"/>
      <c r="I26" s="88">
        <f>ROUND(SUM(I24:I25),2)</f>
        <v>0</v>
      </c>
      <c r="J26" s="280">
        <f t="shared" si="2"/>
        <v>0</v>
      </c>
      <c r="K26" s="280">
        <f t="shared" si="3"/>
        <v>0</v>
      </c>
      <c r="L26" s="280">
        <f t="shared" si="1"/>
        <v>0</v>
      </c>
    </row>
    <row r="27" spans="1:13" ht="16.5" thickBot="1" x14ac:dyDescent="0.3">
      <c r="A27" s="69" t="s">
        <v>2</v>
      </c>
      <c r="B27" s="69" t="s">
        <v>429</v>
      </c>
      <c r="C27" s="69" t="s">
        <v>430</v>
      </c>
      <c r="D27" s="85" t="s">
        <v>3</v>
      </c>
      <c r="E27" s="69" t="s">
        <v>4</v>
      </c>
      <c r="F27" s="69" t="s">
        <v>5</v>
      </c>
      <c r="G27" s="69" t="s">
        <v>6</v>
      </c>
      <c r="H27" s="69" t="s">
        <v>7</v>
      </c>
      <c r="I27" s="79" t="s">
        <v>8</v>
      </c>
      <c r="L27" s="280">
        <f t="shared" si="1"/>
        <v>0</v>
      </c>
    </row>
    <row r="28" spans="1:13" x14ac:dyDescent="0.25">
      <c r="A28" s="119">
        <v>3</v>
      </c>
      <c r="B28" s="118" t="s">
        <v>9</v>
      </c>
      <c r="C28" s="118">
        <v>40000</v>
      </c>
      <c r="D28" s="292" t="s">
        <v>20</v>
      </c>
      <c r="E28" s="292"/>
      <c r="F28" s="292"/>
      <c r="G28" s="292"/>
      <c r="H28" s="292"/>
      <c r="I28" s="293"/>
      <c r="J28" s="280">
        <f t="shared" si="2"/>
        <v>0</v>
      </c>
      <c r="K28" s="280">
        <f t="shared" si="3"/>
        <v>0</v>
      </c>
      <c r="L28" s="280">
        <f t="shared" si="1"/>
        <v>0</v>
      </c>
    </row>
    <row r="29" spans="1:13" x14ac:dyDescent="0.25">
      <c r="A29" s="98" t="s">
        <v>57</v>
      </c>
      <c r="B29" s="99" t="s">
        <v>400</v>
      </c>
      <c r="C29" s="99">
        <v>6081</v>
      </c>
      <c r="D29" s="100" t="s">
        <v>401</v>
      </c>
      <c r="E29" s="101">
        <f>'MEMÓRIA DE CÁLCULO'!D56</f>
        <v>67.718000000000004</v>
      </c>
      <c r="F29" s="99" t="s">
        <v>55</v>
      </c>
      <c r="G29" s="103"/>
      <c r="H29" s="103"/>
      <c r="I29" s="102">
        <f>(G29+H29)*E29</f>
        <v>0</v>
      </c>
      <c r="J29" s="280">
        <f t="shared" si="2"/>
        <v>0</v>
      </c>
      <c r="K29" s="280">
        <f t="shared" si="3"/>
        <v>0</v>
      </c>
      <c r="L29" s="280">
        <f t="shared" si="1"/>
        <v>0</v>
      </c>
    </row>
    <row r="30" spans="1:13" x14ac:dyDescent="0.25">
      <c r="A30" s="98" t="s">
        <v>58</v>
      </c>
      <c r="B30" s="99" t="s">
        <v>9</v>
      </c>
      <c r="C30" s="99">
        <v>40101</v>
      </c>
      <c r="D30" s="100" t="s">
        <v>56</v>
      </c>
      <c r="E30" s="101">
        <f>'MEMÓRIA DE CÁLCULO'!D60</f>
        <v>17.962032000000004</v>
      </c>
      <c r="F30" s="99" t="s">
        <v>55</v>
      </c>
      <c r="G30" s="103"/>
      <c r="H30" s="103"/>
      <c r="I30" s="102">
        <f t="shared" ref="I30:I32" si="4">(G30+H30)*E30</f>
        <v>0</v>
      </c>
      <c r="J30" s="280">
        <f t="shared" si="2"/>
        <v>0</v>
      </c>
      <c r="K30" s="280">
        <f t="shared" si="3"/>
        <v>0</v>
      </c>
      <c r="L30" s="280">
        <f t="shared" si="1"/>
        <v>0</v>
      </c>
    </row>
    <row r="31" spans="1:13" x14ac:dyDescent="0.25">
      <c r="A31" s="98" t="s">
        <v>59</v>
      </c>
      <c r="B31" s="99" t="s">
        <v>9</v>
      </c>
      <c r="C31" s="99">
        <v>40905</v>
      </c>
      <c r="D31" s="100" t="str">
        <f>'MEMÓRIA DE CÁLCULO'!B61</f>
        <v>APILOAMENTO MECÂNICO</v>
      </c>
      <c r="E31" s="101">
        <f>'MEMÓRIA DE CÁLCULO'!D63</f>
        <v>253.79999999999998</v>
      </c>
      <c r="F31" s="99" t="s">
        <v>254</v>
      </c>
      <c r="G31" s="103"/>
      <c r="H31" s="103"/>
      <c r="I31" s="102">
        <f t="shared" si="4"/>
        <v>0</v>
      </c>
      <c r="J31" s="280">
        <f t="shared" si="2"/>
        <v>0</v>
      </c>
      <c r="K31" s="280">
        <f t="shared" si="3"/>
        <v>0</v>
      </c>
      <c r="L31" s="280">
        <f t="shared" si="1"/>
        <v>0</v>
      </c>
    </row>
    <row r="32" spans="1:13" ht="16.5" thickBot="1" x14ac:dyDescent="0.3">
      <c r="A32" s="98" t="s">
        <v>60</v>
      </c>
      <c r="B32" s="99" t="s">
        <v>9</v>
      </c>
      <c r="C32" s="99">
        <v>41007</v>
      </c>
      <c r="D32" s="100" t="str">
        <f>'MEMÓRIA DE CÁLCULO'!B64</f>
        <v>ESPALHAMENTO MECANICO</v>
      </c>
      <c r="E32" s="101">
        <f>'MEMÓRIA DE CÁLCULO'!D66</f>
        <v>573.5</v>
      </c>
      <c r="F32" s="99" t="s">
        <v>15</v>
      </c>
      <c r="G32" s="103"/>
      <c r="H32" s="103"/>
      <c r="I32" s="102">
        <f t="shared" si="4"/>
        <v>0</v>
      </c>
      <c r="J32" s="280">
        <f t="shared" si="2"/>
        <v>0</v>
      </c>
      <c r="K32" s="280">
        <f t="shared" si="3"/>
        <v>0</v>
      </c>
      <c r="L32" s="280">
        <f t="shared" si="1"/>
        <v>0</v>
      </c>
    </row>
    <row r="33" spans="1:12" ht="16.5" thickBot="1" x14ac:dyDescent="0.3">
      <c r="A33" s="289" t="s">
        <v>439</v>
      </c>
      <c r="B33" s="290"/>
      <c r="C33" s="290"/>
      <c r="D33" s="290"/>
      <c r="E33" s="290"/>
      <c r="F33" s="290"/>
      <c r="G33" s="290"/>
      <c r="H33" s="290"/>
      <c r="I33" s="88">
        <f>ROUND(SUM(I29:I32),2)</f>
        <v>0</v>
      </c>
      <c r="J33" s="280">
        <f t="shared" si="2"/>
        <v>0</v>
      </c>
      <c r="K33" s="280">
        <f t="shared" si="3"/>
        <v>0</v>
      </c>
      <c r="L33" s="280">
        <f t="shared" si="1"/>
        <v>0</v>
      </c>
    </row>
    <row r="34" spans="1:12" ht="16.5" thickBot="1" x14ac:dyDescent="0.3">
      <c r="A34" s="69" t="s">
        <v>2</v>
      </c>
      <c r="B34" s="69" t="s">
        <v>429</v>
      </c>
      <c r="C34" s="69" t="s">
        <v>430</v>
      </c>
      <c r="D34" s="85" t="s">
        <v>3</v>
      </c>
      <c r="E34" s="69" t="s">
        <v>4</v>
      </c>
      <c r="F34" s="69" t="s">
        <v>5</v>
      </c>
      <c r="G34" s="69" t="s">
        <v>6</v>
      </c>
      <c r="H34" s="69" t="s">
        <v>7</v>
      </c>
      <c r="I34" s="79" t="s">
        <v>8</v>
      </c>
      <c r="L34" s="280">
        <f t="shared" si="1"/>
        <v>0</v>
      </c>
    </row>
    <row r="35" spans="1:12" x14ac:dyDescent="0.25">
      <c r="A35" s="119">
        <v>4</v>
      </c>
      <c r="B35" s="118" t="s">
        <v>21</v>
      </c>
      <c r="C35" s="118">
        <v>50000</v>
      </c>
      <c r="D35" s="292" t="s">
        <v>22</v>
      </c>
      <c r="E35" s="292"/>
      <c r="F35" s="292"/>
      <c r="G35" s="292"/>
      <c r="H35" s="292"/>
      <c r="I35" s="293"/>
      <c r="J35" s="280">
        <f t="shared" si="2"/>
        <v>0</v>
      </c>
      <c r="K35" s="280">
        <f t="shared" si="3"/>
        <v>0</v>
      </c>
      <c r="L35" s="280">
        <f t="shared" si="1"/>
        <v>0</v>
      </c>
    </row>
    <row r="36" spans="1:12" x14ac:dyDescent="0.25">
      <c r="A36" s="120" t="s">
        <v>71</v>
      </c>
      <c r="B36" s="99" t="s">
        <v>9</v>
      </c>
      <c r="C36" s="99">
        <v>50302</v>
      </c>
      <c r="D36" s="100" t="s">
        <v>63</v>
      </c>
      <c r="E36" s="101">
        <f>'MEMÓRIA DE CÁLCULO'!D72</f>
        <v>210</v>
      </c>
      <c r="F36" s="99" t="s">
        <v>130</v>
      </c>
      <c r="G36" s="103"/>
      <c r="H36" s="103"/>
      <c r="I36" s="102">
        <f t="shared" ref="I36:I44" si="5">(G36+H36)*E36</f>
        <v>0</v>
      </c>
      <c r="J36" s="280">
        <f t="shared" si="2"/>
        <v>0</v>
      </c>
      <c r="K36" s="280">
        <f t="shared" si="3"/>
        <v>0</v>
      </c>
      <c r="L36" s="280">
        <f t="shared" si="1"/>
        <v>0</v>
      </c>
    </row>
    <row r="37" spans="1:12" x14ac:dyDescent="0.25">
      <c r="A37" s="120" t="s">
        <v>72</v>
      </c>
      <c r="B37" s="99" t="s">
        <v>9</v>
      </c>
      <c r="C37" s="99">
        <v>50901</v>
      </c>
      <c r="D37" s="100" t="s">
        <v>64</v>
      </c>
      <c r="E37" s="101">
        <f>'MEMÓRIA DE CÁLCULO'!D79</f>
        <v>16.016000000000002</v>
      </c>
      <c r="F37" s="99" t="s">
        <v>55</v>
      </c>
      <c r="G37" s="103"/>
      <c r="H37" s="103"/>
      <c r="I37" s="102">
        <f t="shared" si="5"/>
        <v>0</v>
      </c>
      <c r="J37" s="280">
        <f t="shared" si="2"/>
        <v>0</v>
      </c>
      <c r="K37" s="280">
        <f t="shared" si="3"/>
        <v>0</v>
      </c>
      <c r="L37" s="280">
        <f t="shared" si="1"/>
        <v>0</v>
      </c>
    </row>
    <row r="38" spans="1:12" x14ac:dyDescent="0.25">
      <c r="A38" s="120" t="s">
        <v>73</v>
      </c>
      <c r="B38" s="99" t="s">
        <v>9</v>
      </c>
      <c r="C38" s="99">
        <v>50902</v>
      </c>
      <c r="D38" s="100" t="str">
        <f>'MEMÓRIA DE CÁLCULO'!B80</f>
        <v>APILOAMENTO MECÂNICO (BLOCOS/SAPATAS)</v>
      </c>
      <c r="E38" s="101">
        <f>'MEMÓRIA DE CÁLCULO'!D86</f>
        <v>11.149999999999999</v>
      </c>
      <c r="F38" s="99" t="s">
        <v>12</v>
      </c>
      <c r="G38" s="103"/>
      <c r="H38" s="103"/>
      <c r="I38" s="102">
        <f t="shared" si="5"/>
        <v>0</v>
      </c>
      <c r="J38" s="280">
        <f t="shared" si="2"/>
        <v>0</v>
      </c>
      <c r="K38" s="280">
        <f t="shared" si="3"/>
        <v>0</v>
      </c>
      <c r="L38" s="280">
        <f t="shared" si="1"/>
        <v>0</v>
      </c>
    </row>
    <row r="39" spans="1:12" x14ac:dyDescent="0.25">
      <c r="A39" s="120" t="s">
        <v>74</v>
      </c>
      <c r="B39" s="99" t="s">
        <v>9</v>
      </c>
      <c r="C39" s="99">
        <v>51009</v>
      </c>
      <c r="D39" s="100" t="s">
        <v>258</v>
      </c>
      <c r="E39" s="101">
        <f>'MEMÓRIA DE CÁLCULO'!D97</f>
        <v>87.545600000000007</v>
      </c>
      <c r="F39" s="99" t="s">
        <v>15</v>
      </c>
      <c r="G39" s="103"/>
      <c r="H39" s="103"/>
      <c r="I39" s="102">
        <f t="shared" si="5"/>
        <v>0</v>
      </c>
      <c r="J39" s="280">
        <f t="shared" si="2"/>
        <v>0</v>
      </c>
      <c r="K39" s="280">
        <f t="shared" si="3"/>
        <v>0</v>
      </c>
      <c r="L39" s="280">
        <f t="shared" si="1"/>
        <v>0</v>
      </c>
    </row>
    <row r="40" spans="1:12" ht="31.5" x14ac:dyDescent="0.25">
      <c r="A40" s="120" t="s">
        <v>75</v>
      </c>
      <c r="B40" s="99" t="s">
        <v>9</v>
      </c>
      <c r="C40" s="99">
        <v>51017</v>
      </c>
      <c r="D40" s="100" t="s">
        <v>65</v>
      </c>
      <c r="E40" s="101">
        <f>'MEMÓRIA DE CÁLCULO'!D104</f>
        <v>11.594999999999999</v>
      </c>
      <c r="F40" s="99" t="s">
        <v>66</v>
      </c>
      <c r="G40" s="103"/>
      <c r="H40" s="103"/>
      <c r="I40" s="102">
        <f t="shared" si="5"/>
        <v>0</v>
      </c>
      <c r="J40" s="280">
        <f t="shared" si="2"/>
        <v>0</v>
      </c>
      <c r="K40" s="280">
        <f t="shared" si="3"/>
        <v>0</v>
      </c>
      <c r="L40" s="280">
        <f t="shared" si="1"/>
        <v>0</v>
      </c>
    </row>
    <row r="41" spans="1:12" ht="31.5" x14ac:dyDescent="0.25">
      <c r="A41" s="120" t="s">
        <v>76</v>
      </c>
      <c r="B41" s="99" t="s">
        <v>9</v>
      </c>
      <c r="C41" s="99">
        <v>51026</v>
      </c>
      <c r="D41" s="100" t="s">
        <v>67</v>
      </c>
      <c r="E41" s="101">
        <f>'MEMÓRIA DE CÁLCULO'!D111</f>
        <v>11.594999999999999</v>
      </c>
      <c r="F41" s="99" t="s">
        <v>55</v>
      </c>
      <c r="G41" s="103"/>
      <c r="H41" s="103"/>
      <c r="I41" s="102">
        <f t="shared" si="5"/>
        <v>0</v>
      </c>
      <c r="J41" s="280">
        <f t="shared" si="2"/>
        <v>0</v>
      </c>
      <c r="K41" s="280">
        <f t="shared" si="3"/>
        <v>0</v>
      </c>
      <c r="L41" s="280">
        <f t="shared" si="1"/>
        <v>0</v>
      </c>
    </row>
    <row r="42" spans="1:12" x14ac:dyDescent="0.25">
      <c r="A42" s="120" t="s">
        <v>77</v>
      </c>
      <c r="B42" s="99" t="s">
        <v>9</v>
      </c>
      <c r="C42" s="99">
        <v>52014</v>
      </c>
      <c r="D42" s="100" t="str">
        <f>'MEMÓRIA DE CÁLCULO'!B112</f>
        <v>ACO CA - 60 - 5,0 MM - (OBRAS CIVIS)</v>
      </c>
      <c r="E42" s="101">
        <f>'MEMÓRIA DE CÁLCULO'!D116</f>
        <v>128.53917999999999</v>
      </c>
      <c r="F42" s="99" t="s">
        <v>68</v>
      </c>
      <c r="G42" s="103"/>
      <c r="H42" s="103"/>
      <c r="I42" s="102">
        <f t="shared" si="5"/>
        <v>0</v>
      </c>
      <c r="J42" s="280">
        <f t="shared" si="2"/>
        <v>0</v>
      </c>
      <c r="K42" s="280">
        <f t="shared" si="3"/>
        <v>0</v>
      </c>
      <c r="L42" s="280">
        <f t="shared" si="1"/>
        <v>0</v>
      </c>
    </row>
    <row r="43" spans="1:12" x14ac:dyDescent="0.25">
      <c r="A43" s="120" t="s">
        <v>251</v>
      </c>
      <c r="B43" s="99" t="s">
        <v>9</v>
      </c>
      <c r="C43" s="99">
        <v>52004</v>
      </c>
      <c r="D43" s="100" t="s">
        <v>250</v>
      </c>
      <c r="E43" s="101">
        <f>'MEMÓRIA DE CÁLCULO'!D121</f>
        <v>398.82360000000006</v>
      </c>
      <c r="F43" s="99" t="s">
        <v>68</v>
      </c>
      <c r="G43" s="103"/>
      <c r="H43" s="103"/>
      <c r="I43" s="102">
        <f t="shared" si="5"/>
        <v>0</v>
      </c>
      <c r="J43" s="280">
        <f t="shared" si="2"/>
        <v>0</v>
      </c>
      <c r="K43" s="280">
        <f t="shared" si="3"/>
        <v>0</v>
      </c>
      <c r="L43" s="280">
        <f t="shared" si="1"/>
        <v>0</v>
      </c>
    </row>
    <row r="44" spans="1:12" ht="16.5" thickBot="1" x14ac:dyDescent="0.3">
      <c r="A44" s="120" t="s">
        <v>259</v>
      </c>
      <c r="B44" s="121" t="s">
        <v>9</v>
      </c>
      <c r="C44" s="121">
        <v>52005</v>
      </c>
      <c r="D44" s="122" t="s">
        <v>69</v>
      </c>
      <c r="E44" s="123">
        <f>'MEMÓRIA DE CÁLCULO'!D126</f>
        <v>319.8528</v>
      </c>
      <c r="F44" s="121" t="s">
        <v>70</v>
      </c>
      <c r="G44" s="124"/>
      <c r="H44" s="124"/>
      <c r="I44" s="102">
        <f t="shared" si="5"/>
        <v>0</v>
      </c>
      <c r="J44" s="280">
        <f t="shared" si="2"/>
        <v>0</v>
      </c>
      <c r="K44" s="280">
        <f t="shared" si="3"/>
        <v>0</v>
      </c>
      <c r="L44" s="280">
        <f t="shared" si="1"/>
        <v>0</v>
      </c>
    </row>
    <row r="45" spans="1:12" ht="16.5" thickBot="1" x14ac:dyDescent="0.3">
      <c r="A45" s="289" t="s">
        <v>439</v>
      </c>
      <c r="B45" s="290"/>
      <c r="C45" s="290"/>
      <c r="D45" s="290"/>
      <c r="E45" s="290"/>
      <c r="F45" s="290"/>
      <c r="G45" s="290"/>
      <c r="H45" s="290"/>
      <c r="I45" s="88">
        <f>ROUND(SUM(I36:I44),2)</f>
        <v>0</v>
      </c>
      <c r="J45" s="280">
        <f t="shared" si="2"/>
        <v>0</v>
      </c>
      <c r="K45" s="280">
        <f t="shared" si="3"/>
        <v>0</v>
      </c>
      <c r="L45" s="280">
        <f t="shared" si="1"/>
        <v>0</v>
      </c>
    </row>
    <row r="46" spans="1:12" ht="16.5" thickBot="1" x14ac:dyDescent="0.3">
      <c r="A46" s="69" t="s">
        <v>2</v>
      </c>
      <c r="B46" s="69" t="s">
        <v>429</v>
      </c>
      <c r="C46" s="69" t="s">
        <v>430</v>
      </c>
      <c r="D46" s="85" t="s">
        <v>3</v>
      </c>
      <c r="E46" s="69" t="s">
        <v>4</v>
      </c>
      <c r="F46" s="69" t="s">
        <v>5</v>
      </c>
      <c r="G46" s="69" t="s">
        <v>6</v>
      </c>
      <c r="H46" s="69" t="s">
        <v>7</v>
      </c>
      <c r="I46" s="79" t="s">
        <v>8</v>
      </c>
      <c r="L46" s="280">
        <f t="shared" si="1"/>
        <v>0</v>
      </c>
    </row>
    <row r="47" spans="1:12" x14ac:dyDescent="0.25">
      <c r="A47" s="119">
        <v>5</v>
      </c>
      <c r="B47" s="118" t="s">
        <v>21</v>
      </c>
      <c r="C47" s="118">
        <v>60000</v>
      </c>
      <c r="D47" s="292" t="s">
        <v>23</v>
      </c>
      <c r="E47" s="292"/>
      <c r="F47" s="292"/>
      <c r="G47" s="292"/>
      <c r="H47" s="292"/>
      <c r="I47" s="293"/>
      <c r="J47" s="280">
        <f t="shared" si="2"/>
        <v>0</v>
      </c>
      <c r="K47" s="280">
        <f t="shared" si="3"/>
        <v>0</v>
      </c>
      <c r="L47" s="280">
        <f t="shared" si="1"/>
        <v>0</v>
      </c>
    </row>
    <row r="48" spans="1:12" x14ac:dyDescent="0.25">
      <c r="A48" s="120" t="s">
        <v>260</v>
      </c>
      <c r="B48" s="99" t="s">
        <v>9</v>
      </c>
      <c r="C48" s="99">
        <v>60010</v>
      </c>
      <c r="D48" s="100" t="s">
        <v>252</v>
      </c>
      <c r="E48" s="101">
        <f>'MEMÓRIA DE CÁLCULO'!D141</f>
        <v>1.3679999999999999</v>
      </c>
      <c r="F48" s="99" t="s">
        <v>253</v>
      </c>
      <c r="G48" s="103"/>
      <c r="H48" s="103"/>
      <c r="I48" s="102">
        <f>(G48+H48)*E48</f>
        <v>0</v>
      </c>
      <c r="J48" s="280">
        <f t="shared" si="2"/>
        <v>0</v>
      </c>
      <c r="K48" s="280">
        <f t="shared" si="3"/>
        <v>0</v>
      </c>
      <c r="L48" s="280">
        <f t="shared" si="1"/>
        <v>0</v>
      </c>
    </row>
    <row r="49" spans="1:12" x14ac:dyDescent="0.25">
      <c r="A49" s="120" t="s">
        <v>261</v>
      </c>
      <c r="B49" s="99" t="s">
        <v>9</v>
      </c>
      <c r="C49" s="99">
        <v>60105</v>
      </c>
      <c r="D49" s="100" t="s">
        <v>701</v>
      </c>
      <c r="E49" s="101">
        <f>'MEMÓRIA DE CÁLCULO'!D145</f>
        <v>68.75</v>
      </c>
      <c r="F49" s="99" t="s">
        <v>254</v>
      </c>
      <c r="G49" s="103"/>
      <c r="H49" s="103"/>
      <c r="I49" s="102">
        <f t="shared" ref="I49:I56" si="6">(G49+H49)*E49</f>
        <v>0</v>
      </c>
      <c r="J49" s="280">
        <f t="shared" si="2"/>
        <v>0</v>
      </c>
      <c r="K49" s="280">
        <f t="shared" si="3"/>
        <v>0</v>
      </c>
      <c r="L49" s="280">
        <f t="shared" si="1"/>
        <v>0</v>
      </c>
    </row>
    <row r="50" spans="1:12" x14ac:dyDescent="0.25">
      <c r="A50" s="120" t="s">
        <v>262</v>
      </c>
      <c r="B50" s="99" t="s">
        <v>9</v>
      </c>
      <c r="C50" s="99">
        <v>60208</v>
      </c>
      <c r="D50" s="100" t="s">
        <v>732</v>
      </c>
      <c r="E50" s="101">
        <f>'MEMÓRIA DE CÁLCULO'!D159</f>
        <v>345.19200000000001</v>
      </c>
      <c r="F50" s="99" t="s">
        <v>254</v>
      </c>
      <c r="G50" s="103"/>
      <c r="H50" s="103"/>
      <c r="I50" s="102">
        <f t="shared" si="6"/>
        <v>0</v>
      </c>
      <c r="J50" s="280">
        <f t="shared" si="2"/>
        <v>0</v>
      </c>
      <c r="K50" s="280">
        <f t="shared" si="3"/>
        <v>0</v>
      </c>
      <c r="L50" s="280">
        <f t="shared" si="1"/>
        <v>0</v>
      </c>
    </row>
    <row r="51" spans="1:12" x14ac:dyDescent="0.25">
      <c r="A51" s="120" t="s">
        <v>263</v>
      </c>
      <c r="B51" s="99" t="s">
        <v>9</v>
      </c>
      <c r="C51" s="99">
        <v>60314</v>
      </c>
      <c r="D51" s="100" t="str">
        <f>'MEMÓRIA DE CÁLCULO'!B160</f>
        <v>ACO CA - 60 - 5,0 MM - (OBRAS CIVIS)</v>
      </c>
      <c r="E51" s="101">
        <f>'MEMÓRIA DE CÁLCULO'!D168</f>
        <v>367.32234</v>
      </c>
      <c r="F51" s="99" t="s">
        <v>68</v>
      </c>
      <c r="G51" s="103"/>
      <c r="H51" s="103"/>
      <c r="I51" s="102">
        <f t="shared" si="6"/>
        <v>0</v>
      </c>
      <c r="J51" s="280">
        <f t="shared" si="2"/>
        <v>0</v>
      </c>
      <c r="K51" s="280">
        <f t="shared" si="3"/>
        <v>0</v>
      </c>
      <c r="L51" s="280">
        <f t="shared" si="1"/>
        <v>0</v>
      </c>
    </row>
    <row r="52" spans="1:12" x14ac:dyDescent="0.25">
      <c r="A52" s="120" t="s">
        <v>264</v>
      </c>
      <c r="B52" s="99" t="s">
        <v>9</v>
      </c>
      <c r="C52" s="99">
        <v>60304</v>
      </c>
      <c r="D52" s="100" t="s">
        <v>277</v>
      </c>
      <c r="E52" s="101">
        <f>'MEMÓRIA DE CÁLCULO'!D174</f>
        <v>336.55579999999998</v>
      </c>
      <c r="F52" s="99" t="s">
        <v>70</v>
      </c>
      <c r="G52" s="103"/>
      <c r="H52" s="103"/>
      <c r="I52" s="102">
        <f t="shared" si="6"/>
        <v>0</v>
      </c>
      <c r="J52" s="280">
        <f t="shared" si="2"/>
        <v>0</v>
      </c>
      <c r="K52" s="280">
        <f t="shared" si="3"/>
        <v>0</v>
      </c>
      <c r="L52" s="280">
        <f t="shared" si="1"/>
        <v>0</v>
      </c>
    </row>
    <row r="53" spans="1:12" x14ac:dyDescent="0.25">
      <c r="A53" s="120" t="s">
        <v>265</v>
      </c>
      <c r="B53" s="99" t="s">
        <v>9</v>
      </c>
      <c r="C53" s="99">
        <v>60305</v>
      </c>
      <c r="D53" s="100" t="s">
        <v>255</v>
      </c>
      <c r="E53" s="101">
        <f>'MEMÓRIA DE CÁLCULO'!D181</f>
        <v>449.54619999999994</v>
      </c>
      <c r="F53" s="99" t="s">
        <v>68</v>
      </c>
      <c r="G53" s="103"/>
      <c r="H53" s="103"/>
      <c r="I53" s="102">
        <f t="shared" si="6"/>
        <v>0</v>
      </c>
      <c r="J53" s="280">
        <f t="shared" si="2"/>
        <v>0</v>
      </c>
      <c r="K53" s="280">
        <f t="shared" si="3"/>
        <v>0</v>
      </c>
      <c r="L53" s="280">
        <f t="shared" si="1"/>
        <v>0</v>
      </c>
    </row>
    <row r="54" spans="1:12" ht="31.5" x14ac:dyDescent="0.25">
      <c r="A54" s="120" t="s">
        <v>266</v>
      </c>
      <c r="B54" s="99" t="s">
        <v>9</v>
      </c>
      <c r="C54" s="99">
        <v>60518</v>
      </c>
      <c r="D54" s="100" t="s">
        <v>256</v>
      </c>
      <c r="E54" s="265">
        <f>'MEMÓRIA DE CÁLCULO'!D189</f>
        <v>16.316800000000001</v>
      </c>
      <c r="F54" s="99" t="s">
        <v>55</v>
      </c>
      <c r="G54" s="103"/>
      <c r="H54" s="103"/>
      <c r="I54" s="102">
        <f t="shared" si="6"/>
        <v>0</v>
      </c>
      <c r="J54" s="280">
        <f t="shared" si="2"/>
        <v>0</v>
      </c>
      <c r="K54" s="280">
        <f t="shared" si="3"/>
        <v>0</v>
      </c>
      <c r="L54" s="280">
        <f t="shared" si="1"/>
        <v>0</v>
      </c>
    </row>
    <row r="55" spans="1:12" x14ac:dyDescent="0.25">
      <c r="A55" s="120" t="s">
        <v>267</v>
      </c>
      <c r="B55" s="99" t="s">
        <v>9</v>
      </c>
      <c r="C55" s="99">
        <v>60801</v>
      </c>
      <c r="D55" t="s">
        <v>702</v>
      </c>
      <c r="E55" s="265">
        <f>'MEMÓRIA DE CÁLCULO'!D192</f>
        <v>16.316800000000001</v>
      </c>
      <c r="F55" s="99" t="s">
        <v>55</v>
      </c>
      <c r="G55" s="103"/>
      <c r="H55" s="103"/>
      <c r="I55" s="102">
        <f t="shared" si="6"/>
        <v>0</v>
      </c>
      <c r="J55" s="280">
        <f t="shared" si="2"/>
        <v>0</v>
      </c>
      <c r="K55" s="280">
        <f t="shared" si="3"/>
        <v>0</v>
      </c>
      <c r="L55" s="280">
        <f t="shared" si="1"/>
        <v>0</v>
      </c>
    </row>
    <row r="56" spans="1:12" ht="32.25" thickBot="1" x14ac:dyDescent="0.3">
      <c r="A56" s="120" t="s">
        <v>276</v>
      </c>
      <c r="B56" s="128" t="s">
        <v>9</v>
      </c>
      <c r="C56" s="128">
        <v>61101</v>
      </c>
      <c r="D56" s="129" t="s">
        <v>257</v>
      </c>
      <c r="E56" s="130">
        <f>'MEMÓRIA DE CÁLCULO'!D195</f>
        <v>33.5</v>
      </c>
      <c r="F56" s="128" t="s">
        <v>15</v>
      </c>
      <c r="G56" s="131"/>
      <c r="H56" s="131"/>
      <c r="I56" s="102">
        <f t="shared" si="6"/>
        <v>0</v>
      </c>
      <c r="J56" s="280">
        <f t="shared" si="2"/>
        <v>0</v>
      </c>
      <c r="K56" s="280">
        <f t="shared" si="3"/>
        <v>0</v>
      </c>
      <c r="L56" s="280">
        <f t="shared" si="1"/>
        <v>0</v>
      </c>
    </row>
    <row r="57" spans="1:12" ht="16.5" thickBot="1" x14ac:dyDescent="0.3">
      <c r="A57" s="289" t="s">
        <v>439</v>
      </c>
      <c r="B57" s="290"/>
      <c r="C57" s="290"/>
      <c r="D57" s="290"/>
      <c r="E57" s="290"/>
      <c r="F57" s="290"/>
      <c r="G57" s="290"/>
      <c r="H57" s="290"/>
      <c r="I57" s="88">
        <f>ROUND(SUM(I48:I56),2)</f>
        <v>0</v>
      </c>
      <c r="J57" s="280">
        <f t="shared" si="2"/>
        <v>0</v>
      </c>
      <c r="K57" s="280">
        <f t="shared" si="3"/>
        <v>0</v>
      </c>
      <c r="L57" s="280">
        <f t="shared" si="1"/>
        <v>0</v>
      </c>
    </row>
    <row r="58" spans="1:12" ht="16.5" thickBot="1" x14ac:dyDescent="0.3">
      <c r="A58" s="69" t="s">
        <v>2</v>
      </c>
      <c r="B58" s="69" t="s">
        <v>429</v>
      </c>
      <c r="C58" s="69" t="s">
        <v>430</v>
      </c>
      <c r="D58" s="85" t="s">
        <v>3</v>
      </c>
      <c r="E58" s="69" t="s">
        <v>4</v>
      </c>
      <c r="F58" s="69" t="s">
        <v>5</v>
      </c>
      <c r="G58" s="69" t="s">
        <v>6</v>
      </c>
      <c r="H58" s="69" t="s">
        <v>7</v>
      </c>
      <c r="I58" s="79" t="s">
        <v>8</v>
      </c>
      <c r="L58" s="280">
        <f t="shared" si="1"/>
        <v>0</v>
      </c>
    </row>
    <row r="59" spans="1:12" x14ac:dyDescent="0.25">
      <c r="A59" s="119">
        <v>6</v>
      </c>
      <c r="B59" s="118" t="s">
        <v>21</v>
      </c>
      <c r="C59" s="118">
        <v>70000</v>
      </c>
      <c r="D59" s="292" t="s">
        <v>24</v>
      </c>
      <c r="E59" s="292"/>
      <c r="F59" s="292"/>
      <c r="G59" s="292"/>
      <c r="H59" s="292"/>
      <c r="I59" s="293"/>
      <c r="J59" s="280">
        <f t="shared" si="2"/>
        <v>0</v>
      </c>
      <c r="K59" s="280">
        <f t="shared" si="3"/>
        <v>0</v>
      </c>
      <c r="L59" s="280">
        <f t="shared" si="1"/>
        <v>0</v>
      </c>
    </row>
    <row r="60" spans="1:12" x14ac:dyDescent="0.25">
      <c r="A60" s="120" t="s">
        <v>79</v>
      </c>
      <c r="B60" s="99" t="s">
        <v>9</v>
      </c>
      <c r="C60" s="99">
        <v>70421</v>
      </c>
      <c r="D60" s="100" t="str">
        <f>'MEMÓRIA DE CÁLCULO'!B198</f>
        <v>BUCHA E ARRUELA METALICA DIAM. 3/4"</v>
      </c>
      <c r="E60" s="101">
        <f>'MEMÓRIA DE CÁLCULO'!D198</f>
        <v>2</v>
      </c>
      <c r="F60" s="99" t="s">
        <v>5</v>
      </c>
      <c r="G60" s="103"/>
      <c r="H60" s="103"/>
      <c r="I60" s="102">
        <f t="shared" ref="I60:I92" si="7">(H60+G60)*E60</f>
        <v>0</v>
      </c>
      <c r="J60" s="280">
        <f t="shared" si="2"/>
        <v>0</v>
      </c>
      <c r="K60" s="280">
        <f t="shared" si="3"/>
        <v>0</v>
      </c>
      <c r="L60" s="280">
        <f t="shared" si="1"/>
        <v>0</v>
      </c>
    </row>
    <row r="61" spans="1:12" ht="15.75" customHeight="1" x14ac:dyDescent="0.25">
      <c r="A61" s="120" t="s">
        <v>80</v>
      </c>
      <c r="B61" s="99" t="s">
        <v>9</v>
      </c>
      <c r="C61" s="99">
        <v>70691</v>
      </c>
      <c r="D61" s="100" t="str">
        <f>'MEMÓRIA DE CÁLCULO'!B199</f>
        <v>CAIXA METALICA RET. 4" X 2" X 2"</v>
      </c>
      <c r="E61" s="101">
        <f>'MEMÓRIA DE CÁLCULO'!D199</f>
        <v>27</v>
      </c>
      <c r="F61" s="99" t="s">
        <v>5</v>
      </c>
      <c r="G61" s="103"/>
      <c r="H61" s="103"/>
      <c r="I61" s="102">
        <f t="shared" si="7"/>
        <v>0</v>
      </c>
      <c r="J61" s="280">
        <f t="shared" si="2"/>
        <v>0</v>
      </c>
      <c r="K61" s="280">
        <f t="shared" si="3"/>
        <v>0</v>
      </c>
      <c r="L61" s="280">
        <f t="shared" si="1"/>
        <v>0</v>
      </c>
    </row>
    <row r="62" spans="1:12" x14ac:dyDescent="0.25">
      <c r="A62" s="120" t="s">
        <v>83</v>
      </c>
      <c r="B62" s="99" t="s">
        <v>9</v>
      </c>
      <c r="C62" s="99">
        <v>71741</v>
      </c>
      <c r="D62" s="100" t="str">
        <f>'MEMÓRIA DE CÁLCULO'!B200</f>
        <v>LUVA PVC ROSQUEAVEL DIAMETRO 3/4"</v>
      </c>
      <c r="E62" s="101">
        <f>'MEMÓRIA DE CÁLCULO'!D200</f>
        <v>1</v>
      </c>
      <c r="F62" s="99" t="s">
        <v>5</v>
      </c>
      <c r="G62" s="103"/>
      <c r="H62" s="103"/>
      <c r="I62" s="102">
        <f t="shared" si="7"/>
        <v>0</v>
      </c>
      <c r="J62" s="280">
        <f t="shared" si="2"/>
        <v>0</v>
      </c>
      <c r="K62" s="280">
        <f t="shared" si="3"/>
        <v>0</v>
      </c>
      <c r="L62" s="280">
        <f t="shared" si="1"/>
        <v>0</v>
      </c>
    </row>
    <row r="63" spans="1:12" ht="15.75" customHeight="1" x14ac:dyDescent="0.25">
      <c r="A63" s="120" t="s">
        <v>84</v>
      </c>
      <c r="B63" s="99" t="s">
        <v>9</v>
      </c>
      <c r="C63" s="99">
        <v>71774</v>
      </c>
      <c r="D63" s="100" t="str">
        <f>'MEMÓRIA DE CÁLCULO'!B201</f>
        <v>NIPLE METALICO Fo.Zo. DIAMETRO 1 1/4"</v>
      </c>
      <c r="E63" s="101">
        <f>'MEMÓRIA DE CÁLCULO'!D201</f>
        <v>2</v>
      </c>
      <c r="F63" s="99" t="s">
        <v>5</v>
      </c>
      <c r="G63" s="103"/>
      <c r="H63" s="103"/>
      <c r="I63" s="102">
        <f t="shared" si="7"/>
        <v>0</v>
      </c>
      <c r="J63" s="280">
        <f t="shared" si="2"/>
        <v>0</v>
      </c>
      <c r="K63" s="280">
        <f t="shared" si="3"/>
        <v>0</v>
      </c>
      <c r="L63" s="280">
        <f t="shared" si="1"/>
        <v>0</v>
      </c>
    </row>
    <row r="64" spans="1:12" x14ac:dyDescent="0.25">
      <c r="A64" s="120" t="s">
        <v>85</v>
      </c>
      <c r="B64" s="99" t="s">
        <v>9</v>
      </c>
      <c r="C64" s="99">
        <v>70509</v>
      </c>
      <c r="D64" s="100" t="str">
        <f>'MEMÓRIA DE CÁLCULO'!B202</f>
        <v>CABO EPR/XLPE (90°C) 1KV - 10MM2</v>
      </c>
      <c r="E64" s="101">
        <f>'MEMÓRIA DE CÁLCULO'!D202</f>
        <v>71</v>
      </c>
      <c r="F64" s="99" t="s">
        <v>5</v>
      </c>
      <c r="G64" s="103"/>
      <c r="H64" s="103"/>
      <c r="I64" s="102">
        <f t="shared" si="7"/>
        <v>0</v>
      </c>
      <c r="J64" s="280">
        <f t="shared" si="2"/>
        <v>0</v>
      </c>
      <c r="K64" s="280">
        <f t="shared" si="3"/>
        <v>0</v>
      </c>
      <c r="L64" s="280">
        <f t="shared" si="1"/>
        <v>0</v>
      </c>
    </row>
    <row r="65" spans="1:12" x14ac:dyDescent="0.25">
      <c r="A65" s="120" t="s">
        <v>81</v>
      </c>
      <c r="B65" s="99" t="s">
        <v>9</v>
      </c>
      <c r="C65" s="99">
        <v>70563</v>
      </c>
      <c r="D65" s="100" t="str">
        <f>'MEMÓRIA DE CÁLCULO'!B203</f>
        <v>CABO ISOLADO PVC 750 V. No. 2,5 MM2</v>
      </c>
      <c r="E65" s="101">
        <f>'MEMÓRIA DE CÁLCULO'!D203</f>
        <v>1244.4000000000001</v>
      </c>
      <c r="F65" s="99" t="s">
        <v>705</v>
      </c>
      <c r="G65" s="103"/>
      <c r="H65" s="103"/>
      <c r="I65" s="102">
        <f t="shared" si="7"/>
        <v>0</v>
      </c>
      <c r="J65" s="280">
        <f t="shared" si="2"/>
        <v>0</v>
      </c>
      <c r="K65" s="280">
        <f t="shared" si="3"/>
        <v>0</v>
      </c>
      <c r="L65" s="280">
        <f t="shared" si="1"/>
        <v>0</v>
      </c>
    </row>
    <row r="66" spans="1:12" x14ac:dyDescent="0.25">
      <c r="A66" s="120" t="s">
        <v>82</v>
      </c>
      <c r="B66" s="99" t="s">
        <v>9</v>
      </c>
      <c r="C66" s="99">
        <v>70564</v>
      </c>
      <c r="D66" s="100" t="str">
        <f>'MEMÓRIA DE CÁLCULO'!B204</f>
        <v>CABO ISOLADO PVC 750 V. No. 4 MM2</v>
      </c>
      <c r="E66" s="101">
        <f>'MEMÓRIA DE CÁLCULO'!D204</f>
        <v>317.89999999999998</v>
      </c>
      <c r="F66" s="99" t="s">
        <v>705</v>
      </c>
      <c r="G66" s="103"/>
      <c r="H66" s="103"/>
      <c r="I66" s="102">
        <f t="shared" si="7"/>
        <v>0</v>
      </c>
      <c r="J66" s="280">
        <f t="shared" si="2"/>
        <v>0</v>
      </c>
      <c r="K66" s="280">
        <f t="shared" si="3"/>
        <v>0</v>
      </c>
      <c r="L66" s="280">
        <f t="shared" si="1"/>
        <v>0</v>
      </c>
    </row>
    <row r="67" spans="1:12" x14ac:dyDescent="0.25">
      <c r="A67" s="120" t="s">
        <v>86</v>
      </c>
      <c r="B67" s="99" t="s">
        <v>9</v>
      </c>
      <c r="C67" s="99">
        <v>71442</v>
      </c>
      <c r="D67" s="100" t="str">
        <f>'MEMÓRIA DE CÁLCULO'!B205</f>
        <v>INTERRUPTOR SIMPLES (3 SECOES)</v>
      </c>
      <c r="E67" s="101">
        <f>'MEMÓRIA DE CÁLCULO'!D205</f>
        <v>2</v>
      </c>
      <c r="F67" s="99" t="s">
        <v>705</v>
      </c>
      <c r="G67" s="103"/>
      <c r="H67" s="103"/>
      <c r="I67" s="102">
        <f t="shared" si="7"/>
        <v>0</v>
      </c>
      <c r="J67" s="280">
        <f t="shared" si="2"/>
        <v>0</v>
      </c>
      <c r="K67" s="280">
        <f t="shared" si="3"/>
        <v>0</v>
      </c>
      <c r="L67" s="280">
        <f t="shared" si="1"/>
        <v>0</v>
      </c>
    </row>
    <row r="68" spans="1:12" x14ac:dyDescent="0.25">
      <c r="A68" s="120" t="s">
        <v>87</v>
      </c>
      <c r="B68" s="99" t="s">
        <v>9</v>
      </c>
      <c r="C68" s="99">
        <v>71440</v>
      </c>
      <c r="D68" s="100" t="str">
        <f>'MEMÓRIA DE CÁLCULO'!B206</f>
        <v>INTERRUPTOR SIMPLES (1 SECAO)</v>
      </c>
      <c r="E68" s="101">
        <f>'MEMÓRIA DE CÁLCULO'!D206</f>
        <v>2</v>
      </c>
      <c r="F68" s="99" t="s">
        <v>5</v>
      </c>
      <c r="G68" s="103"/>
      <c r="H68" s="103"/>
      <c r="I68" s="102">
        <f t="shared" si="7"/>
        <v>0</v>
      </c>
      <c r="J68" s="280">
        <f t="shared" si="2"/>
        <v>0</v>
      </c>
      <c r="K68" s="280">
        <f t="shared" si="3"/>
        <v>0</v>
      </c>
      <c r="L68" s="280">
        <f t="shared" si="1"/>
        <v>0</v>
      </c>
    </row>
    <row r="69" spans="1:12" x14ac:dyDescent="0.25">
      <c r="A69" s="120" t="s">
        <v>88</v>
      </c>
      <c r="B69" s="99" t="s">
        <v>9</v>
      </c>
      <c r="C69" s="99">
        <v>71441</v>
      </c>
      <c r="D69" s="100" t="str">
        <f>'MEMÓRIA DE CÁLCULO'!B207</f>
        <v>INTERRUPTOR SIMPLES (2 SECOES)</v>
      </c>
      <c r="E69" s="101">
        <f>'MEMÓRIA DE CÁLCULO'!D207</f>
        <v>1</v>
      </c>
      <c r="F69" s="99" t="s">
        <v>5</v>
      </c>
      <c r="G69" s="103"/>
      <c r="H69" s="103"/>
      <c r="I69" s="102">
        <f t="shared" si="7"/>
        <v>0</v>
      </c>
      <c r="J69" s="280">
        <f t="shared" si="2"/>
        <v>0</v>
      </c>
      <c r="K69" s="280">
        <f t="shared" si="3"/>
        <v>0</v>
      </c>
      <c r="L69" s="280">
        <f t="shared" si="1"/>
        <v>0</v>
      </c>
    </row>
    <row r="70" spans="1:12" ht="31.5" x14ac:dyDescent="0.25">
      <c r="A70" s="120" t="s">
        <v>89</v>
      </c>
      <c r="B70" s="99" t="s">
        <v>9</v>
      </c>
      <c r="C70" s="99">
        <v>71443</v>
      </c>
      <c r="D70" s="100" t="str">
        <f>'MEMÓRIA DE CÁLCULO'!B208</f>
        <v>INTERRUPTOR SIMPLES 1 SEÇÃO E 1 TOMADA HEXAGONAL 2P + T - 10A CONJUGADOS</v>
      </c>
      <c r="E70" s="101">
        <f>'MEMÓRIA DE CÁLCULO'!D208</f>
        <v>2</v>
      </c>
      <c r="F70" s="99" t="s">
        <v>5</v>
      </c>
      <c r="G70" s="103"/>
      <c r="H70" s="103"/>
      <c r="I70" s="102">
        <f t="shared" si="7"/>
        <v>0</v>
      </c>
      <c r="J70" s="280">
        <f t="shared" si="2"/>
        <v>0</v>
      </c>
      <c r="K70" s="280">
        <f t="shared" si="3"/>
        <v>0</v>
      </c>
      <c r="L70" s="280">
        <f t="shared" si="1"/>
        <v>0</v>
      </c>
    </row>
    <row r="71" spans="1:12" x14ac:dyDescent="0.25">
      <c r="A71" s="120" t="s">
        <v>90</v>
      </c>
      <c r="B71" s="99" t="s">
        <v>9</v>
      </c>
      <c r="C71" s="99">
        <v>72578</v>
      </c>
      <c r="D71" s="100" t="str">
        <f>'MEMÓRIA DE CÁLCULO'!B209</f>
        <v>TOMADA HEXAGONAL 2P + T - 10A - 250V</v>
      </c>
      <c r="E71" s="101">
        <f>'MEMÓRIA DE CÁLCULO'!D209</f>
        <v>12</v>
      </c>
      <c r="F71" s="99" t="s">
        <v>5</v>
      </c>
      <c r="G71" s="103"/>
      <c r="H71" s="103"/>
      <c r="I71" s="102">
        <f t="shared" si="7"/>
        <v>0</v>
      </c>
      <c r="J71" s="280">
        <f t="shared" si="2"/>
        <v>0</v>
      </c>
      <c r="K71" s="280">
        <f t="shared" si="3"/>
        <v>0</v>
      </c>
      <c r="L71" s="280">
        <f t="shared" si="1"/>
        <v>0</v>
      </c>
    </row>
    <row r="72" spans="1:12" x14ac:dyDescent="0.25">
      <c r="A72" s="120" t="s">
        <v>91</v>
      </c>
      <c r="B72" s="99" t="s">
        <v>9</v>
      </c>
      <c r="C72" s="99">
        <v>72585</v>
      </c>
      <c r="D72" s="100" t="str">
        <f>'MEMÓRIA DE CÁLCULO'!B210</f>
        <v>TOMADA HEXAGONAL 2P + T - 20A - 250V</v>
      </c>
      <c r="E72" s="101">
        <f>'MEMÓRIA DE CÁLCULO'!D210</f>
        <v>2</v>
      </c>
      <c r="F72" s="99" t="s">
        <v>5</v>
      </c>
      <c r="G72" s="103"/>
      <c r="H72" s="103"/>
      <c r="I72" s="102">
        <f t="shared" si="7"/>
        <v>0</v>
      </c>
      <c r="J72" s="280">
        <f t="shared" si="2"/>
        <v>0</v>
      </c>
      <c r="K72" s="280">
        <f t="shared" si="3"/>
        <v>0</v>
      </c>
      <c r="L72" s="280">
        <f t="shared" si="1"/>
        <v>0</v>
      </c>
    </row>
    <row r="73" spans="1:12" ht="31.5" x14ac:dyDescent="0.25">
      <c r="A73" s="120" t="s">
        <v>92</v>
      </c>
      <c r="B73" s="99" t="s">
        <v>45</v>
      </c>
      <c r="C73" s="99">
        <v>97595</v>
      </c>
      <c r="D73" s="100" t="str">
        <f>'MEMÓRIA DE CÁLCULO'!B211</f>
        <v>SENSOR DE PRESENÇA COM FOTOCÉLULA, FIXAÇÃO EM PAREDE - FORNECIMENTO E INSTALAÇÃO. AF_02/2020</v>
      </c>
      <c r="E73" s="101">
        <f>'MEMÓRIA DE CÁLCULO'!D211</f>
        <v>1</v>
      </c>
      <c r="F73" s="99" t="s">
        <v>5</v>
      </c>
      <c r="G73" s="103"/>
      <c r="H73" s="103"/>
      <c r="I73" s="102">
        <f t="shared" si="7"/>
        <v>0</v>
      </c>
      <c r="J73" s="280">
        <f t="shared" si="2"/>
        <v>0</v>
      </c>
      <c r="K73" s="280">
        <f t="shared" si="3"/>
        <v>0</v>
      </c>
      <c r="L73" s="280">
        <f t="shared" si="1"/>
        <v>0</v>
      </c>
    </row>
    <row r="74" spans="1:12" x14ac:dyDescent="0.25">
      <c r="A74" s="120" t="s">
        <v>93</v>
      </c>
      <c r="B74" s="99" t="s">
        <v>9</v>
      </c>
      <c r="C74" s="99">
        <v>71174</v>
      </c>
      <c r="D74" s="100" t="str">
        <f>'MEMÓRIA DE CÁLCULO'!B212</f>
        <v>DISJUNTOR TRIPOLAR 40 A 50A</v>
      </c>
      <c r="E74" s="101">
        <f>'MEMÓRIA DE CÁLCULO'!D212</f>
        <v>2</v>
      </c>
      <c r="F74" s="99" t="s">
        <v>5</v>
      </c>
      <c r="G74" s="103"/>
      <c r="H74" s="103"/>
      <c r="I74" s="102">
        <f t="shared" si="7"/>
        <v>0</v>
      </c>
      <c r="J74" s="280">
        <f t="shared" si="2"/>
        <v>0</v>
      </c>
      <c r="K74" s="280">
        <f t="shared" si="3"/>
        <v>0</v>
      </c>
      <c r="L74" s="280">
        <f t="shared" si="1"/>
        <v>0</v>
      </c>
    </row>
    <row r="75" spans="1:12" x14ac:dyDescent="0.25">
      <c r="A75" s="120" t="s">
        <v>94</v>
      </c>
      <c r="B75" s="99" t="s">
        <v>9</v>
      </c>
      <c r="C75" s="99">
        <v>71171</v>
      </c>
      <c r="D75" s="100" t="str">
        <f>'MEMÓRIA DE CÁLCULO'!B213</f>
        <v>DISJUNTOR MONOPOLAR DE 10 A 32-A</v>
      </c>
      <c r="E75" s="101">
        <f>'MEMÓRIA DE CÁLCULO'!D213</f>
        <v>14</v>
      </c>
      <c r="F75" s="99" t="s">
        <v>5</v>
      </c>
      <c r="G75" s="103"/>
      <c r="H75" s="103"/>
      <c r="I75" s="102">
        <f t="shared" si="7"/>
        <v>0</v>
      </c>
      <c r="J75" s="280">
        <f t="shared" si="2"/>
        <v>0</v>
      </c>
      <c r="K75" s="280">
        <f t="shared" si="3"/>
        <v>0</v>
      </c>
      <c r="L75" s="280">
        <f t="shared" si="1"/>
        <v>0</v>
      </c>
    </row>
    <row r="76" spans="1:12" x14ac:dyDescent="0.25">
      <c r="A76" s="120" t="s">
        <v>95</v>
      </c>
      <c r="B76" s="99" t="s">
        <v>9</v>
      </c>
      <c r="C76" s="99">
        <v>71186</v>
      </c>
      <c r="D76" s="100" t="str">
        <f>'MEMÓRIA DE CÁLCULO'!B214</f>
        <v>DISPOSITIVO DE PROTEÇÃO CONTRA SURTOS (D.P.S.) 275V DE 90KA</v>
      </c>
      <c r="E76" s="101">
        <f>'MEMÓRIA DE CÁLCULO'!D214</f>
        <v>1</v>
      </c>
      <c r="F76" s="99" t="s">
        <v>5</v>
      </c>
      <c r="G76" s="103"/>
      <c r="H76" s="103"/>
      <c r="I76" s="102">
        <f t="shared" si="7"/>
        <v>0</v>
      </c>
      <c r="J76" s="280">
        <f t="shared" si="2"/>
        <v>0</v>
      </c>
      <c r="K76" s="280">
        <f t="shared" si="3"/>
        <v>0</v>
      </c>
      <c r="L76" s="280">
        <f t="shared" si="1"/>
        <v>0</v>
      </c>
    </row>
    <row r="77" spans="1:12" x14ac:dyDescent="0.25">
      <c r="A77" s="120" t="s">
        <v>96</v>
      </c>
      <c r="B77" s="99" t="s">
        <v>9</v>
      </c>
      <c r="C77" s="99">
        <v>71450</v>
      </c>
      <c r="D77" s="100" t="str">
        <f>'MEMÓRIA DE CÁLCULO'!B215</f>
        <v>INTERRUPTOR DIFERENCIAL RESIDUAL (D.R.) BIPOLAR DE 25A-30mA</v>
      </c>
      <c r="E77" s="101">
        <f>'MEMÓRIA DE CÁLCULO'!D215</f>
        <v>2</v>
      </c>
      <c r="F77" s="99" t="s">
        <v>5</v>
      </c>
      <c r="G77" s="103"/>
      <c r="H77" s="103"/>
      <c r="I77" s="102">
        <f t="shared" si="7"/>
        <v>0</v>
      </c>
      <c r="J77" s="280">
        <f t="shared" ref="J77:J120" si="8">G77*E77</f>
        <v>0</v>
      </c>
      <c r="K77" s="280">
        <f t="shared" ref="K77:K120" si="9">H77*E77</f>
        <v>0</v>
      </c>
      <c r="L77" s="280">
        <f t="shared" si="1"/>
        <v>0</v>
      </c>
    </row>
    <row r="78" spans="1:12" x14ac:dyDescent="0.25">
      <c r="A78" s="120" t="s">
        <v>97</v>
      </c>
      <c r="B78" s="99" t="s">
        <v>9</v>
      </c>
      <c r="C78" s="99">
        <v>71194</v>
      </c>
      <c r="D78" s="100" t="str">
        <f>'MEMÓRIA DE CÁLCULO'!B216</f>
        <v>ELETRODUTO PVC FLEXÍVEL - MANGUEIRA CORRUGADA LEVE - DIAM. 25MM</v>
      </c>
      <c r="E78" s="101">
        <f>'MEMÓRIA DE CÁLCULO'!D216</f>
        <v>69.400000000000006</v>
      </c>
      <c r="F78" s="99" t="s">
        <v>5</v>
      </c>
      <c r="G78" s="103"/>
      <c r="H78" s="103"/>
      <c r="I78" s="102">
        <f t="shared" si="7"/>
        <v>0</v>
      </c>
      <c r="J78" s="280">
        <f t="shared" si="8"/>
        <v>0</v>
      </c>
      <c r="K78" s="280">
        <f t="shared" si="9"/>
        <v>0</v>
      </c>
      <c r="L78" s="280">
        <f t="shared" si="1"/>
        <v>0</v>
      </c>
    </row>
    <row r="79" spans="1:12" x14ac:dyDescent="0.25">
      <c r="A79" s="120" t="s">
        <v>98</v>
      </c>
      <c r="B79" s="99" t="s">
        <v>9</v>
      </c>
      <c r="C79" s="99">
        <v>71201</v>
      </c>
      <c r="D79" s="100" t="str">
        <f>'MEMÓRIA DE CÁLCULO'!B217</f>
        <v>ELETRODUTO DE PVC RIGIDO DIAMETRO 3/4"</v>
      </c>
      <c r="E79" s="101">
        <f>'MEMÓRIA DE CÁLCULO'!D217</f>
        <v>3</v>
      </c>
      <c r="F79" s="99" t="s">
        <v>5</v>
      </c>
      <c r="G79" s="103"/>
      <c r="H79" s="103"/>
      <c r="I79" s="102">
        <f t="shared" si="7"/>
        <v>0</v>
      </c>
      <c r="J79" s="280">
        <f t="shared" si="8"/>
        <v>0</v>
      </c>
      <c r="K79" s="280">
        <f t="shared" si="9"/>
        <v>0</v>
      </c>
      <c r="L79" s="280">
        <f t="shared" ref="L79:L142" si="10">K79+J79</f>
        <v>0</v>
      </c>
    </row>
    <row r="80" spans="1:12" ht="31.5" x14ac:dyDescent="0.25">
      <c r="A80" s="120" t="s">
        <v>99</v>
      </c>
      <c r="B80" s="99" t="s">
        <v>45</v>
      </c>
      <c r="C80" s="99">
        <v>97592</v>
      </c>
      <c r="D80" s="100" t="str">
        <f>'MEMÓRIA DE CÁLCULO'!B218</f>
        <v>LUMINÁRIA TIPO PLAFON, DE SOBREPOR, COM 1 LÂMPADA LED DE 12/13 W, SEM REATOR - FORNECIMENTO E INSTALAÇÃO. AF_02/2020</v>
      </c>
      <c r="E80" s="101">
        <f>'MEMÓRIA DE CÁLCULO'!D218</f>
        <v>10</v>
      </c>
      <c r="F80" s="99" t="s">
        <v>5</v>
      </c>
      <c r="G80" s="103"/>
      <c r="H80" s="103"/>
      <c r="I80" s="102">
        <f t="shared" si="7"/>
        <v>0</v>
      </c>
      <c r="J80" s="280">
        <f t="shared" si="8"/>
        <v>0</v>
      </c>
      <c r="K80" s="280">
        <f t="shared" si="9"/>
        <v>0</v>
      </c>
      <c r="L80" s="280">
        <f t="shared" si="10"/>
        <v>0</v>
      </c>
    </row>
    <row r="81" spans="1:12" ht="31.5" x14ac:dyDescent="0.25">
      <c r="A81" s="120" t="s">
        <v>100</v>
      </c>
      <c r="B81" s="99" t="s">
        <v>9</v>
      </c>
      <c r="C81" s="99">
        <v>71617</v>
      </c>
      <c r="D81" s="100" t="str">
        <f>'MEMÓRIA DE CÁLCULO'!B219</f>
        <v>LUMINÁRIA DE EMBUTIR COM REFLETOR DE ALUMÍNIO E ALETAS 2X28W - INCLUSO CORTE NO FORRO</v>
      </c>
      <c r="E81" s="101">
        <f>'MEMÓRIA DE CÁLCULO'!D219</f>
        <v>15</v>
      </c>
      <c r="F81" s="99" t="s">
        <v>5</v>
      </c>
      <c r="G81" s="103"/>
      <c r="H81" s="103"/>
      <c r="I81" s="102">
        <f t="shared" si="7"/>
        <v>0</v>
      </c>
      <c r="J81" s="280">
        <f t="shared" si="8"/>
        <v>0</v>
      </c>
      <c r="K81" s="280">
        <f t="shared" si="9"/>
        <v>0</v>
      </c>
      <c r="L81" s="280">
        <f t="shared" si="10"/>
        <v>0</v>
      </c>
    </row>
    <row r="82" spans="1:12" x14ac:dyDescent="0.25">
      <c r="A82" s="120" t="s">
        <v>101</v>
      </c>
      <c r="B82" s="99" t="s">
        <v>9</v>
      </c>
      <c r="C82" s="99">
        <v>71536</v>
      </c>
      <c r="D82" s="100" t="str">
        <f>'MEMÓRIA DE CÁLCULO'!B220</f>
        <v>LÂMPADA FLUORESCENTE TUBULAR T5 DE 28 W</v>
      </c>
      <c r="E82" s="101">
        <f>'MEMÓRIA DE CÁLCULO'!D220</f>
        <v>30</v>
      </c>
      <c r="F82" s="99" t="s">
        <v>705</v>
      </c>
      <c r="G82" s="103"/>
      <c r="H82" s="103"/>
      <c r="I82" s="102">
        <f t="shared" si="7"/>
        <v>0</v>
      </c>
      <c r="J82" s="280">
        <f t="shared" si="8"/>
        <v>0</v>
      </c>
      <c r="K82" s="280">
        <f t="shared" si="9"/>
        <v>0</v>
      </c>
      <c r="L82" s="280">
        <f t="shared" si="10"/>
        <v>0</v>
      </c>
    </row>
    <row r="83" spans="1:12" x14ac:dyDescent="0.25">
      <c r="A83" s="120" t="s">
        <v>102</v>
      </c>
      <c r="B83" s="99" t="s">
        <v>9</v>
      </c>
      <c r="C83" s="99">
        <v>70250</v>
      </c>
      <c r="D83" s="100" t="str">
        <f>'MEMÓRIA DE CÁLCULO'!B221</f>
        <v>ARRUELA QUAD.ACO GALVANIZADO 3X38X38MM FURO 18MM</v>
      </c>
      <c r="E83" s="101">
        <f>'MEMÓRIA DE CÁLCULO'!D221</f>
        <v>2</v>
      </c>
      <c r="F83" s="99" t="s">
        <v>705</v>
      </c>
      <c r="G83" s="103"/>
      <c r="H83" s="103"/>
      <c r="I83" s="102">
        <f t="shared" si="7"/>
        <v>0</v>
      </c>
      <c r="J83" s="280">
        <f t="shared" si="8"/>
        <v>0</v>
      </c>
      <c r="K83" s="280">
        <f t="shared" si="9"/>
        <v>0</v>
      </c>
      <c r="L83" s="280">
        <f t="shared" si="10"/>
        <v>0</v>
      </c>
    </row>
    <row r="84" spans="1:12" x14ac:dyDescent="0.25">
      <c r="A84" s="120" t="s">
        <v>103</v>
      </c>
      <c r="B84" s="99" t="s">
        <v>9</v>
      </c>
      <c r="C84" s="99">
        <v>71381</v>
      </c>
      <c r="D84" s="100" t="str">
        <f>'MEMÓRIA DE CÁLCULO'!B222</f>
        <v>HASTE REV.COBRE(COPPERWELD) 5/8" X 3,00 M C/CONECTOR</v>
      </c>
      <c r="E84" s="101">
        <f>'MEMÓRIA DE CÁLCULO'!D222</f>
        <v>3</v>
      </c>
      <c r="F84" s="99" t="s">
        <v>705</v>
      </c>
      <c r="G84" s="103"/>
      <c r="H84" s="103"/>
      <c r="I84" s="102">
        <f t="shared" si="7"/>
        <v>0</v>
      </c>
      <c r="J84" s="280">
        <f t="shared" si="8"/>
        <v>0</v>
      </c>
      <c r="K84" s="280">
        <f t="shared" si="9"/>
        <v>0</v>
      </c>
      <c r="L84" s="280">
        <f t="shared" si="10"/>
        <v>0</v>
      </c>
    </row>
    <row r="85" spans="1:12" x14ac:dyDescent="0.25">
      <c r="A85" s="120" t="s">
        <v>104</v>
      </c>
      <c r="B85" s="99" t="s">
        <v>9</v>
      </c>
      <c r="C85" s="99">
        <v>71480</v>
      </c>
      <c r="D85" s="100" t="str">
        <f>'MEMÓRIA DE CÁLCULO'!B223</f>
        <v>ISOLADOR ROLDANA PORCELANA 72 X 72</v>
      </c>
      <c r="E85" s="101">
        <f>'MEMÓRIA DE CÁLCULO'!D223</f>
        <v>2</v>
      </c>
      <c r="F85" s="99" t="s">
        <v>5</v>
      </c>
      <c r="G85" s="103"/>
      <c r="H85" s="103"/>
      <c r="I85" s="102">
        <f t="shared" si="7"/>
        <v>0</v>
      </c>
      <c r="J85" s="280">
        <f t="shared" si="8"/>
        <v>0</v>
      </c>
      <c r="K85" s="280">
        <f t="shared" si="9"/>
        <v>0</v>
      </c>
      <c r="L85" s="280">
        <f t="shared" si="10"/>
        <v>0</v>
      </c>
    </row>
    <row r="86" spans="1:12" x14ac:dyDescent="0.25">
      <c r="A86" s="120" t="s">
        <v>105</v>
      </c>
      <c r="B86" s="99" t="s">
        <v>9</v>
      </c>
      <c r="C86" s="99">
        <v>71980</v>
      </c>
      <c r="D86" s="100" t="str">
        <f>'MEMÓRIA DE CÁLCULO'!B224</f>
        <v>PORCA QUADRADA DE ACO GALVANIZADO 16 X 2</v>
      </c>
      <c r="E86" s="101">
        <f>'MEMÓRIA DE CÁLCULO'!D224</f>
        <v>2</v>
      </c>
      <c r="F86" s="99" t="s">
        <v>5</v>
      </c>
      <c r="G86" s="103"/>
      <c r="H86" s="103"/>
      <c r="I86" s="102">
        <f t="shared" si="7"/>
        <v>0</v>
      </c>
      <c r="J86" s="280">
        <f t="shared" si="8"/>
        <v>0</v>
      </c>
      <c r="K86" s="280">
        <f t="shared" si="9"/>
        <v>0</v>
      </c>
      <c r="L86" s="280">
        <f t="shared" si="10"/>
        <v>0</v>
      </c>
    </row>
    <row r="87" spans="1:12" ht="31.5" x14ac:dyDescent="0.25">
      <c r="A87" s="120" t="s">
        <v>106</v>
      </c>
      <c r="B87" s="99" t="s">
        <v>9</v>
      </c>
      <c r="C87" s="99">
        <v>71612</v>
      </c>
      <c r="D87" s="100" t="str">
        <f>'MEMÓRIA DE CÁLCULO'!B225</f>
        <v>LUMINÁRIA TIPO ARANDELA DE USO EXTERNO BLINDADA COM GRADE ( MÉDIA ) - BASE E-27</v>
      </c>
      <c r="E87" s="101">
        <f>'MEMÓRIA DE CÁLCULO'!D225</f>
        <v>5</v>
      </c>
      <c r="F87" s="99" t="s">
        <v>5</v>
      </c>
      <c r="G87" s="103"/>
      <c r="H87" s="103"/>
      <c r="I87" s="102">
        <f t="shared" si="7"/>
        <v>0</v>
      </c>
      <c r="J87" s="280">
        <f t="shared" si="8"/>
        <v>0</v>
      </c>
      <c r="K87" s="280">
        <f t="shared" si="9"/>
        <v>0</v>
      </c>
      <c r="L87" s="280">
        <f t="shared" si="10"/>
        <v>0</v>
      </c>
    </row>
    <row r="88" spans="1:12" x14ac:dyDescent="0.25">
      <c r="A88" s="120" t="s">
        <v>107</v>
      </c>
      <c r="B88" s="99" t="s">
        <v>9</v>
      </c>
      <c r="C88" s="99">
        <v>71682</v>
      </c>
      <c r="D88" s="100" t="str">
        <f>'MEMÓRIA DE CÁLCULO'!B226</f>
        <v>LUMINÁRIA TIPO PROJETOR CIRCULAR ATÉ 200 W - BASE E-27</v>
      </c>
      <c r="E88" s="101">
        <f>'MEMÓRIA DE CÁLCULO'!D226</f>
        <v>4</v>
      </c>
      <c r="F88" s="99" t="s">
        <v>5</v>
      </c>
      <c r="G88" s="103"/>
      <c r="H88" s="103"/>
      <c r="I88" s="102">
        <f t="shared" si="7"/>
        <v>0</v>
      </c>
      <c r="J88" s="280">
        <f t="shared" si="8"/>
        <v>0</v>
      </c>
      <c r="K88" s="280">
        <f t="shared" si="9"/>
        <v>0</v>
      </c>
      <c r="L88" s="280">
        <f t="shared" si="10"/>
        <v>0</v>
      </c>
    </row>
    <row r="89" spans="1:12" x14ac:dyDescent="0.25">
      <c r="A89" s="120" t="s">
        <v>108</v>
      </c>
      <c r="B89" s="99" t="s">
        <v>9</v>
      </c>
      <c r="C89" s="99">
        <v>70720</v>
      </c>
      <c r="D89" s="100" t="str">
        <f>'MEMÓRIA DE CÁLCULO'!B227</f>
        <v>CAIXA METÁLICA PARA MEDIDOR POLIFÁSICO PADRÃO ENEL 500X380X166MM</v>
      </c>
      <c r="E89" s="101">
        <f>'MEMÓRIA DE CÁLCULO'!D227</f>
        <v>1</v>
      </c>
      <c r="F89" s="99" t="s">
        <v>5</v>
      </c>
      <c r="G89" s="103"/>
      <c r="H89" s="103"/>
      <c r="I89" s="102">
        <f t="shared" si="7"/>
        <v>0</v>
      </c>
      <c r="J89" s="280">
        <f t="shared" si="8"/>
        <v>0</v>
      </c>
      <c r="K89" s="280">
        <f t="shared" si="9"/>
        <v>0</v>
      </c>
      <c r="L89" s="280">
        <f t="shared" si="10"/>
        <v>0</v>
      </c>
    </row>
    <row r="90" spans="1:12" x14ac:dyDescent="0.25">
      <c r="A90" s="120" t="s">
        <v>109</v>
      </c>
      <c r="B90" s="99" t="s">
        <v>9</v>
      </c>
      <c r="C90" s="99">
        <v>72190</v>
      </c>
      <c r="D90" s="100" t="str">
        <f>'MEMÓRIA DE CÁLCULO'!B228</f>
        <v>QUADRO DE DISTRIBUIÇÃO DE EMBUTIR METÁLICO CB-24E - 150A</v>
      </c>
      <c r="E90" s="101">
        <f>'MEMÓRIA DE CÁLCULO'!D228</f>
        <v>1</v>
      </c>
      <c r="F90" s="99" t="s">
        <v>5</v>
      </c>
      <c r="G90" s="103"/>
      <c r="H90" s="103"/>
      <c r="I90" s="102">
        <f t="shared" si="7"/>
        <v>0</v>
      </c>
      <c r="J90" s="280">
        <f t="shared" si="8"/>
        <v>0</v>
      </c>
      <c r="K90" s="280">
        <f t="shared" si="9"/>
        <v>0</v>
      </c>
      <c r="L90" s="280">
        <f t="shared" si="10"/>
        <v>0</v>
      </c>
    </row>
    <row r="91" spans="1:12" x14ac:dyDescent="0.25">
      <c r="A91" s="120" t="s">
        <v>110</v>
      </c>
      <c r="B91" s="99" t="s">
        <v>9</v>
      </c>
      <c r="C91" s="99">
        <v>71822</v>
      </c>
      <c r="D91" s="100" t="str">
        <f>'MEMÓRIA DE CÁLCULO'!B229</f>
        <v>PADRAO TRIFASICO, 10 MM2 H=7 METROS</v>
      </c>
      <c r="E91" s="101">
        <f>'MEMÓRIA DE CÁLCULO'!D229</f>
        <v>1</v>
      </c>
      <c r="F91" s="99" t="s">
        <v>5</v>
      </c>
      <c r="G91" s="103"/>
      <c r="H91" s="103"/>
      <c r="I91" s="102">
        <f t="shared" si="7"/>
        <v>0</v>
      </c>
      <c r="J91" s="280">
        <f t="shared" si="8"/>
        <v>0</v>
      </c>
      <c r="K91" s="280">
        <f t="shared" si="9"/>
        <v>0</v>
      </c>
      <c r="L91" s="280">
        <f t="shared" si="10"/>
        <v>0</v>
      </c>
    </row>
    <row r="92" spans="1:12" ht="16.5" thickBot="1" x14ac:dyDescent="0.3">
      <c r="A92" s="120" t="s">
        <v>111</v>
      </c>
      <c r="B92" s="99" t="s">
        <v>9</v>
      </c>
      <c r="C92" s="99">
        <v>71598</v>
      </c>
      <c r="D92" s="100" t="str">
        <f>'MEMÓRIA DE CÁLCULO'!B230</f>
        <v>LUMINÁRIA DE EMERGÊNCIA 30 LEDS</v>
      </c>
      <c r="E92" s="101">
        <f>'MEMÓRIA DE CÁLCULO'!D230</f>
        <v>6</v>
      </c>
      <c r="F92" s="99" t="s">
        <v>5</v>
      </c>
      <c r="G92" s="103"/>
      <c r="H92" s="103"/>
      <c r="I92" s="102">
        <f t="shared" si="7"/>
        <v>0</v>
      </c>
      <c r="J92" s="280">
        <f t="shared" si="8"/>
        <v>0</v>
      </c>
      <c r="K92" s="280">
        <f t="shared" si="9"/>
        <v>0</v>
      </c>
      <c r="L92" s="280">
        <f t="shared" si="10"/>
        <v>0</v>
      </c>
    </row>
    <row r="93" spans="1:12" ht="16.5" thickBot="1" x14ac:dyDescent="0.3">
      <c r="A93" s="289" t="s">
        <v>439</v>
      </c>
      <c r="B93" s="290"/>
      <c r="C93" s="290"/>
      <c r="D93" s="290"/>
      <c r="E93" s="290"/>
      <c r="F93" s="290"/>
      <c r="G93" s="290"/>
      <c r="H93" s="290"/>
      <c r="I93" s="88">
        <f>ROUND(SUM(I60:I92),2)</f>
        <v>0</v>
      </c>
      <c r="J93" s="280">
        <f t="shared" si="8"/>
        <v>0</v>
      </c>
      <c r="K93" s="280">
        <f t="shared" si="9"/>
        <v>0</v>
      </c>
      <c r="L93" s="280">
        <f t="shared" si="10"/>
        <v>0</v>
      </c>
    </row>
    <row r="94" spans="1:12" ht="16.5" thickBot="1" x14ac:dyDescent="0.3">
      <c r="A94" s="69" t="s">
        <v>2</v>
      </c>
      <c r="B94" s="69" t="s">
        <v>429</v>
      </c>
      <c r="C94" s="69" t="s">
        <v>430</v>
      </c>
      <c r="D94" s="85" t="s">
        <v>3</v>
      </c>
      <c r="E94" s="69" t="s">
        <v>4</v>
      </c>
      <c r="F94" s="69" t="s">
        <v>5</v>
      </c>
      <c r="G94" s="69" t="s">
        <v>6</v>
      </c>
      <c r="H94" s="69" t="s">
        <v>7</v>
      </c>
      <c r="I94" s="79" t="s">
        <v>8</v>
      </c>
      <c r="L94" s="280">
        <f t="shared" si="10"/>
        <v>0</v>
      </c>
    </row>
    <row r="95" spans="1:12" x14ac:dyDescent="0.25">
      <c r="A95" s="119">
        <v>7</v>
      </c>
      <c r="B95" s="118" t="s">
        <v>21</v>
      </c>
      <c r="C95" s="118">
        <v>80000</v>
      </c>
      <c r="D95" s="292" t="s">
        <v>26</v>
      </c>
      <c r="E95" s="292"/>
      <c r="F95" s="292"/>
      <c r="G95" s="292"/>
      <c r="H95" s="292"/>
      <c r="I95" s="293"/>
      <c r="J95" s="280">
        <f t="shared" si="8"/>
        <v>0</v>
      </c>
      <c r="K95" s="280">
        <f t="shared" si="9"/>
        <v>0</v>
      </c>
      <c r="L95" s="280">
        <f t="shared" si="10"/>
        <v>0</v>
      </c>
    </row>
    <row r="96" spans="1:12" x14ac:dyDescent="0.25">
      <c r="A96" s="98" t="s">
        <v>151</v>
      </c>
      <c r="B96" s="132" t="s">
        <v>9</v>
      </c>
      <c r="C96" s="132">
        <v>80500</v>
      </c>
      <c r="D96" s="133" t="str">
        <f>'MEMÓRIA DE CÁLCULO'!B233</f>
        <v>L O U C A S E M E T A I S</v>
      </c>
      <c r="E96" s="134"/>
      <c r="F96" s="132"/>
      <c r="G96" s="135"/>
      <c r="H96" s="135"/>
      <c r="I96" s="136"/>
      <c r="J96" s="280">
        <f t="shared" si="8"/>
        <v>0</v>
      </c>
      <c r="K96" s="280">
        <f t="shared" si="9"/>
        <v>0</v>
      </c>
      <c r="L96" s="280">
        <f t="shared" si="10"/>
        <v>0</v>
      </c>
    </row>
    <row r="97" spans="1:12" x14ac:dyDescent="0.25">
      <c r="A97" s="98" t="s">
        <v>152</v>
      </c>
      <c r="B97" s="132" t="s">
        <v>9</v>
      </c>
      <c r="C97" s="132">
        <v>80501</v>
      </c>
      <c r="D97" s="133" t="str">
        <f>'MEMÓRIA DE CÁLCULO'!B234</f>
        <v>V A S O S A N I T A R I O / A C E S S O R I O S</v>
      </c>
      <c r="E97" s="134"/>
      <c r="F97" s="132"/>
      <c r="G97" s="135"/>
      <c r="H97" s="135"/>
      <c r="I97" s="136"/>
      <c r="J97" s="280">
        <f t="shared" si="8"/>
        <v>0</v>
      </c>
      <c r="K97" s="280">
        <f t="shared" si="9"/>
        <v>0</v>
      </c>
      <c r="L97" s="280">
        <f t="shared" si="10"/>
        <v>0</v>
      </c>
    </row>
    <row r="98" spans="1:12" ht="31.5" x14ac:dyDescent="0.25">
      <c r="A98" s="98" t="s">
        <v>153</v>
      </c>
      <c r="B98" s="132" t="s">
        <v>9</v>
      </c>
      <c r="C98" s="132">
        <v>80504</v>
      </c>
      <c r="D98" s="133" t="str">
        <f>'MEMÓRIA DE CÁLCULO'!B235</f>
        <v>VASO SANITÁRIO COM CAIXA ACOPLADA COM DUPLO ACIONAMENTO - COMPLETO EXCLUSO O ASSENTO</v>
      </c>
      <c r="E98" s="134">
        <f>'MEMÓRIA DE CÁLCULO'!D235</f>
        <v>2</v>
      </c>
      <c r="F98" s="132" t="s">
        <v>378</v>
      </c>
      <c r="G98" s="135"/>
      <c r="H98" s="135"/>
      <c r="I98" s="102">
        <f>(G98+H98)*E98</f>
        <v>0</v>
      </c>
      <c r="J98" s="280">
        <f t="shared" si="8"/>
        <v>0</v>
      </c>
      <c r="K98" s="280">
        <f t="shared" si="9"/>
        <v>0</v>
      </c>
      <c r="L98" s="280">
        <f t="shared" si="10"/>
        <v>0</v>
      </c>
    </row>
    <row r="99" spans="1:12" x14ac:dyDescent="0.25">
      <c r="A99" s="98" t="s">
        <v>155</v>
      </c>
      <c r="B99" s="132" t="s">
        <v>9</v>
      </c>
      <c r="C99" s="132">
        <v>80510</v>
      </c>
      <c r="D99" s="133" t="str">
        <f>'MEMÓRIA DE CÁLCULO'!B236</f>
        <v>ANEL DE VEDAÇÃO PARA VASO SANITÁRIO</v>
      </c>
      <c r="E99" s="134">
        <f>'MEMÓRIA DE CÁLCULO'!D236</f>
        <v>2</v>
      </c>
      <c r="F99" s="132" t="s">
        <v>378</v>
      </c>
      <c r="G99" s="135"/>
      <c r="H99" s="135"/>
      <c r="I99" s="102">
        <f t="shared" ref="I99:I162" si="11">(G99+H99)*E99</f>
        <v>0</v>
      </c>
      <c r="J99" s="280">
        <f t="shared" ref="J99:J100" si="12">G99*E99</f>
        <v>0</v>
      </c>
      <c r="K99" s="280">
        <f t="shared" ref="K99:K100" si="13">H99*E99</f>
        <v>0</v>
      </c>
      <c r="L99" s="280">
        <f t="shared" si="10"/>
        <v>0</v>
      </c>
    </row>
    <row r="100" spans="1:12" x14ac:dyDescent="0.25">
      <c r="A100" s="98" t="s">
        <v>156</v>
      </c>
      <c r="B100" s="132" t="s">
        <v>9</v>
      </c>
      <c r="C100" s="132">
        <v>80520</v>
      </c>
      <c r="D100" s="133" t="str">
        <f>'MEMÓRIA DE CÁLCULO'!B237</f>
        <v>CONJUNTO DE FIXACAO P/VASO SANITARIO (PAR)</v>
      </c>
      <c r="E100" s="134">
        <f>'MEMÓRIA DE CÁLCULO'!D237</f>
        <v>2</v>
      </c>
      <c r="F100" s="132" t="s">
        <v>747</v>
      </c>
      <c r="G100" s="135"/>
      <c r="H100" s="135"/>
      <c r="I100" s="102">
        <f t="shared" si="11"/>
        <v>0</v>
      </c>
      <c r="J100" s="280">
        <f t="shared" si="12"/>
        <v>0</v>
      </c>
      <c r="K100" s="280">
        <f t="shared" si="13"/>
        <v>0</v>
      </c>
      <c r="L100" s="280">
        <f t="shared" si="10"/>
        <v>0</v>
      </c>
    </row>
    <row r="101" spans="1:12" ht="31.5" x14ac:dyDescent="0.25">
      <c r="A101" s="98" t="s">
        <v>157</v>
      </c>
      <c r="B101" s="132" t="s">
        <v>9</v>
      </c>
      <c r="C101" s="132">
        <v>80526</v>
      </c>
      <c r="D101" s="133" t="str">
        <f>'MEMÓRIA DE CÁLCULO'!B238</f>
        <v xml:space="preserve">ASSENTO EM POLIPROPILENO COM SISTEMA DE FECHAMENTO SUAVE PARA VASO SANITÁRIO </v>
      </c>
      <c r="E101" s="134">
        <f>'MEMÓRIA DE CÁLCULO'!D238</f>
        <v>2</v>
      </c>
      <c r="F101" s="132" t="s">
        <v>378</v>
      </c>
      <c r="G101" s="135"/>
      <c r="H101" s="135"/>
      <c r="I101" s="102">
        <f t="shared" si="11"/>
        <v>0</v>
      </c>
      <c r="J101" s="280">
        <f t="shared" si="8"/>
        <v>0</v>
      </c>
      <c r="K101" s="280">
        <f t="shared" si="9"/>
        <v>0</v>
      </c>
      <c r="L101" s="280">
        <f t="shared" si="10"/>
        <v>0</v>
      </c>
    </row>
    <row r="102" spans="1:12" x14ac:dyDescent="0.25">
      <c r="A102" s="98" t="s">
        <v>158</v>
      </c>
      <c r="B102" s="132" t="s">
        <v>9</v>
      </c>
      <c r="C102" s="132">
        <v>80532</v>
      </c>
      <c r="D102" s="133" t="str">
        <f>'MEMÓRIA DE CÁLCULO'!B239</f>
        <v xml:space="preserve">PORTA PAPEL HIGIÊNICO EM METAL/ACABAMENTO CROMADO </v>
      </c>
      <c r="E102" s="134">
        <f>'MEMÓRIA DE CÁLCULO'!D239</f>
        <v>2</v>
      </c>
      <c r="F102" s="132" t="s">
        <v>378</v>
      </c>
      <c r="G102" s="135"/>
      <c r="H102" s="135"/>
      <c r="I102" s="102">
        <f t="shared" si="11"/>
        <v>0</v>
      </c>
      <c r="J102" s="280">
        <f t="shared" si="8"/>
        <v>0</v>
      </c>
      <c r="K102" s="280">
        <f t="shared" si="9"/>
        <v>0</v>
      </c>
      <c r="L102" s="280">
        <f t="shared" si="10"/>
        <v>0</v>
      </c>
    </row>
    <row r="103" spans="1:12" x14ac:dyDescent="0.25">
      <c r="A103" s="98" t="s">
        <v>159</v>
      </c>
      <c r="B103" s="132" t="s">
        <v>9</v>
      </c>
      <c r="C103" s="132">
        <v>80540</v>
      </c>
      <c r="D103" s="133" t="str">
        <f>'MEMÓRIA DE CÁLCULO'!B240</f>
        <v>L A V A T O R I O / A C E S S O R I O S</v>
      </c>
      <c r="E103" s="134"/>
      <c r="F103" s="132"/>
      <c r="G103" s="135"/>
      <c r="H103" s="135"/>
      <c r="I103" s="102"/>
      <c r="J103" s="280">
        <f t="shared" si="8"/>
        <v>0</v>
      </c>
      <c r="K103" s="280">
        <f t="shared" si="9"/>
        <v>0</v>
      </c>
      <c r="L103" s="280">
        <f t="shared" si="10"/>
        <v>0</v>
      </c>
    </row>
    <row r="104" spans="1:12" x14ac:dyDescent="0.25">
      <c r="A104" s="98" t="s">
        <v>160</v>
      </c>
      <c r="B104" s="132" t="s">
        <v>9</v>
      </c>
      <c r="C104" s="132">
        <v>80555</v>
      </c>
      <c r="D104" s="133" t="str">
        <f>'MEMÓRIA DE CÁLCULO'!B241</f>
        <v xml:space="preserve">LIGAÇÃO FLEXÍVEL METÁLICA DIAM.1/2"(ENGATE) </v>
      </c>
      <c r="E104" s="134">
        <f>'MEMÓRIA DE CÁLCULO'!D241</f>
        <v>2</v>
      </c>
      <c r="F104" s="132" t="s">
        <v>378</v>
      </c>
      <c r="G104" s="135"/>
      <c r="H104" s="135"/>
      <c r="I104" s="102">
        <f t="shared" si="11"/>
        <v>0</v>
      </c>
      <c r="J104" s="280">
        <f t="shared" si="8"/>
        <v>0</v>
      </c>
      <c r="K104" s="280">
        <f t="shared" si="9"/>
        <v>0</v>
      </c>
      <c r="L104" s="280">
        <f t="shared" si="10"/>
        <v>0</v>
      </c>
    </row>
    <row r="105" spans="1:12" x14ac:dyDescent="0.25">
      <c r="A105" s="98" t="s">
        <v>161</v>
      </c>
      <c r="B105" s="132" t="s">
        <v>9</v>
      </c>
      <c r="C105" s="132">
        <v>80541</v>
      </c>
      <c r="D105" s="133" t="str">
        <f>'MEMÓRIA DE CÁLCULO'!B242</f>
        <v>LAVATÓRIO MÉDIO COM COLUNA</v>
      </c>
      <c r="E105" s="134">
        <f>'MEMÓRIA DE CÁLCULO'!D242</f>
        <v>2</v>
      </c>
      <c r="F105" s="132" t="s">
        <v>378</v>
      </c>
      <c r="G105" s="135"/>
      <c r="H105" s="135"/>
      <c r="I105" s="102">
        <f t="shared" si="11"/>
        <v>0</v>
      </c>
      <c r="J105" s="280">
        <f t="shared" si="8"/>
        <v>0</v>
      </c>
      <c r="K105" s="280">
        <f t="shared" si="9"/>
        <v>0</v>
      </c>
      <c r="L105" s="280">
        <f t="shared" si="10"/>
        <v>0</v>
      </c>
    </row>
    <row r="106" spans="1:12" x14ac:dyDescent="0.25">
      <c r="A106" s="98" t="s">
        <v>162</v>
      </c>
      <c r="B106" s="132" t="s">
        <v>9</v>
      </c>
      <c r="C106" s="132">
        <v>80550</v>
      </c>
      <c r="D106" s="133" t="str">
        <f>'MEMÓRIA DE CÁLCULO'!B243</f>
        <v>FIXACAO P/LAVATORIO (PAR)</v>
      </c>
      <c r="E106" s="134">
        <f>'MEMÓRIA DE CÁLCULO'!D243</f>
        <v>2</v>
      </c>
      <c r="F106" s="132" t="s">
        <v>750</v>
      </c>
      <c r="G106" s="135"/>
      <c r="H106" s="135"/>
      <c r="I106" s="102">
        <f t="shared" si="11"/>
        <v>0</v>
      </c>
      <c r="J106" s="280">
        <f t="shared" si="8"/>
        <v>0</v>
      </c>
      <c r="K106" s="280">
        <f t="shared" si="9"/>
        <v>0</v>
      </c>
      <c r="L106" s="280">
        <f t="shared" si="10"/>
        <v>0</v>
      </c>
    </row>
    <row r="107" spans="1:12" x14ac:dyDescent="0.25">
      <c r="A107" s="98" t="s">
        <v>163</v>
      </c>
      <c r="B107" s="132" t="s">
        <v>9</v>
      </c>
      <c r="C107" s="132">
        <v>80556</v>
      </c>
      <c r="D107" s="133" t="str">
        <f>'MEMÓRIA DE CÁLCULO'!B244</f>
        <v>LIGAÇÃO FLEXÍVEL PVC DIAM.1/2" (ENGATE)</v>
      </c>
      <c r="E107" s="134">
        <f>'MEMÓRIA DE CÁLCULO'!D244</f>
        <v>2</v>
      </c>
      <c r="F107" s="132" t="s">
        <v>378</v>
      </c>
      <c r="G107" s="135"/>
      <c r="H107" s="135"/>
      <c r="I107" s="102">
        <f t="shared" si="11"/>
        <v>0</v>
      </c>
      <c r="J107" s="280">
        <f t="shared" si="8"/>
        <v>0</v>
      </c>
      <c r="K107" s="280">
        <f t="shared" si="9"/>
        <v>0</v>
      </c>
      <c r="L107" s="280">
        <f t="shared" si="10"/>
        <v>0</v>
      </c>
    </row>
    <row r="108" spans="1:12" x14ac:dyDescent="0.25">
      <c r="A108" s="98" t="s">
        <v>164</v>
      </c>
      <c r="B108" s="132" t="s">
        <v>9</v>
      </c>
      <c r="C108" s="132">
        <v>80562</v>
      </c>
      <c r="D108" s="133" t="str">
        <f>'MEMÓRIA DE CÁLCULO'!B245</f>
        <v xml:space="preserve">SIFAO FLEXIVEL UNIVERSAL ( SANFONADO) EM PVC PARA LAVATORIO </v>
      </c>
      <c r="E108" s="134">
        <f>'MEMÓRIA DE CÁLCULO'!D245</f>
        <v>2</v>
      </c>
      <c r="F108" s="132" t="s">
        <v>378</v>
      </c>
      <c r="G108" s="103"/>
      <c r="H108" s="103"/>
      <c r="I108" s="102">
        <f t="shared" si="11"/>
        <v>0</v>
      </c>
      <c r="J108" s="280">
        <f t="shared" si="8"/>
        <v>0</v>
      </c>
      <c r="K108" s="280">
        <f t="shared" si="9"/>
        <v>0</v>
      </c>
      <c r="L108" s="280">
        <f t="shared" si="10"/>
        <v>0</v>
      </c>
    </row>
    <row r="109" spans="1:12" x14ac:dyDescent="0.25">
      <c r="A109" s="98" t="s">
        <v>165</v>
      </c>
      <c r="B109" s="132" t="s">
        <v>9</v>
      </c>
      <c r="C109" s="132">
        <v>80570</v>
      </c>
      <c r="D109" s="133" t="str">
        <f>'MEMÓRIA DE CÁLCULO'!B246</f>
        <v xml:space="preserve">TORNEIRA DE MESA PARA LAVATÓRIO DIÂMETRO DE 1/2" </v>
      </c>
      <c r="E109" s="134">
        <f>'MEMÓRIA DE CÁLCULO'!D246</f>
        <v>2</v>
      </c>
      <c r="F109" s="132" t="s">
        <v>378</v>
      </c>
      <c r="G109" s="135"/>
      <c r="H109" s="135"/>
      <c r="I109" s="102">
        <f t="shared" si="11"/>
        <v>0</v>
      </c>
      <c r="J109" s="280">
        <f t="shared" si="8"/>
        <v>0</v>
      </c>
      <c r="K109" s="280">
        <f t="shared" si="9"/>
        <v>0</v>
      </c>
      <c r="L109" s="280">
        <f t="shared" si="10"/>
        <v>0</v>
      </c>
    </row>
    <row r="110" spans="1:12" x14ac:dyDescent="0.25">
      <c r="A110" s="98" t="s">
        <v>166</v>
      </c>
      <c r="B110" s="132" t="s">
        <v>9</v>
      </c>
      <c r="C110" s="139">
        <v>80650</v>
      </c>
      <c r="D110" s="133" t="str">
        <f>'MEMÓRIA DE CÁLCULO'!B247</f>
        <v>P I A / A C E S S O R I O S</v>
      </c>
      <c r="E110" s="134"/>
      <c r="F110" s="141"/>
      <c r="G110" s="138"/>
      <c r="H110" s="140"/>
      <c r="I110" s="102"/>
      <c r="J110" s="280">
        <f t="shared" si="8"/>
        <v>0</v>
      </c>
      <c r="K110" s="280">
        <f t="shared" si="9"/>
        <v>0</v>
      </c>
      <c r="L110" s="280">
        <f t="shared" si="10"/>
        <v>0</v>
      </c>
    </row>
    <row r="111" spans="1:12" x14ac:dyDescent="0.25">
      <c r="A111" s="98" t="s">
        <v>167</v>
      </c>
      <c r="B111" s="132" t="s">
        <v>9</v>
      </c>
      <c r="C111" s="139">
        <v>80651</v>
      </c>
      <c r="D111" s="133" t="str">
        <f>'MEMÓRIA DE CÁLCULO'!B248</f>
        <v>PIA MÁRMORE/GRANITO SINTÉTICO 1,20X0,54 M</v>
      </c>
      <c r="E111" s="134">
        <f>'MEMÓRIA DE CÁLCULO'!D248</f>
        <v>1</v>
      </c>
      <c r="F111" s="141" t="s">
        <v>378</v>
      </c>
      <c r="G111" s="138"/>
      <c r="H111" s="140"/>
      <c r="I111" s="102">
        <f t="shared" si="11"/>
        <v>0</v>
      </c>
      <c r="J111" s="280">
        <f t="shared" ref="J111" si="14">G111*E111</f>
        <v>0</v>
      </c>
      <c r="K111" s="280">
        <f t="shared" ref="K111" si="15">H111*E111</f>
        <v>0</v>
      </c>
      <c r="L111" s="280">
        <f t="shared" si="10"/>
        <v>0</v>
      </c>
    </row>
    <row r="112" spans="1:12" x14ac:dyDescent="0.25">
      <c r="A112" s="98" t="s">
        <v>168</v>
      </c>
      <c r="B112" s="132" t="s">
        <v>9</v>
      </c>
      <c r="C112" s="132">
        <v>80656</v>
      </c>
      <c r="D112" s="133" t="str">
        <f>'MEMÓRIA DE CÁLCULO'!B249</f>
        <v xml:space="preserve">TORNEIRA DE MESA PARA PIA DIÂMETRO DE 1/2" - BICA MÓVEL </v>
      </c>
      <c r="E112" s="134">
        <f>'MEMÓRIA DE CÁLCULO'!D249</f>
        <v>1</v>
      </c>
      <c r="F112" s="132" t="s">
        <v>378</v>
      </c>
      <c r="G112" s="135"/>
      <c r="H112" s="135"/>
      <c r="I112" s="102">
        <f t="shared" si="11"/>
        <v>0</v>
      </c>
      <c r="J112" s="280">
        <f t="shared" si="8"/>
        <v>0</v>
      </c>
      <c r="K112" s="280">
        <f t="shared" si="9"/>
        <v>0</v>
      </c>
      <c r="L112" s="280">
        <f t="shared" si="10"/>
        <v>0</v>
      </c>
    </row>
    <row r="113" spans="1:12" x14ac:dyDescent="0.25">
      <c r="A113" s="98" t="s">
        <v>169</v>
      </c>
      <c r="B113" s="132" t="s">
        <v>9</v>
      </c>
      <c r="C113" s="132">
        <v>80671</v>
      </c>
      <c r="D113" s="133" t="str">
        <f>'MEMÓRIA DE CÁLCULO'!B250</f>
        <v>SIFAO PVC P/PIA 1.1/2" X 2"</v>
      </c>
      <c r="E113" s="134">
        <f>'MEMÓRIA DE CÁLCULO'!D250</f>
        <v>1</v>
      </c>
      <c r="F113" s="132" t="s">
        <v>378</v>
      </c>
      <c r="G113" s="135"/>
      <c r="H113" s="135"/>
      <c r="I113" s="102">
        <f t="shared" si="11"/>
        <v>0</v>
      </c>
      <c r="J113" s="280">
        <f t="shared" si="8"/>
        <v>0</v>
      </c>
      <c r="K113" s="280">
        <f t="shared" si="9"/>
        <v>0</v>
      </c>
      <c r="L113" s="280">
        <f t="shared" si="10"/>
        <v>0</v>
      </c>
    </row>
    <row r="114" spans="1:12" x14ac:dyDescent="0.25">
      <c r="A114" s="98" t="s">
        <v>170</v>
      </c>
      <c r="B114" s="132" t="s">
        <v>9</v>
      </c>
      <c r="C114" s="137">
        <v>80800</v>
      </c>
      <c r="D114" s="133" t="str">
        <f>'MEMÓRIA DE CÁLCULO'!B251</f>
        <v xml:space="preserve"> T A N Q U E S / T O R N E I R A S  J A R D I M S</v>
      </c>
      <c r="E114" s="134"/>
      <c r="F114" s="132"/>
      <c r="G114" s="138"/>
      <c r="H114" s="138"/>
      <c r="I114" s="102"/>
      <c r="J114" s="280">
        <f t="shared" si="8"/>
        <v>0</v>
      </c>
      <c r="K114" s="280">
        <f t="shared" si="9"/>
        <v>0</v>
      </c>
      <c r="L114" s="280">
        <f t="shared" si="10"/>
        <v>0</v>
      </c>
    </row>
    <row r="115" spans="1:12" x14ac:dyDescent="0.25">
      <c r="A115" s="98" t="s">
        <v>171</v>
      </c>
      <c r="B115" s="132" t="s">
        <v>9</v>
      </c>
      <c r="C115" s="137">
        <v>80811</v>
      </c>
      <c r="D115" s="133" t="str">
        <f>'MEMÓRIA DE CÁLCULO'!B252</f>
        <v xml:space="preserve">TORNEIRA DE JARDIM COM BICO PARA MANGUEIRA DIÂMETRO DE 1/2" E 3/4" </v>
      </c>
      <c r="E115" s="134">
        <f>'MEMÓRIA DE CÁLCULO'!D252</f>
        <v>1</v>
      </c>
      <c r="F115" s="132" t="s">
        <v>378</v>
      </c>
      <c r="G115" s="138"/>
      <c r="H115" s="138"/>
      <c r="I115" s="102">
        <f t="shared" si="11"/>
        <v>0</v>
      </c>
      <c r="J115" s="280">
        <f t="shared" si="8"/>
        <v>0</v>
      </c>
      <c r="K115" s="280">
        <f t="shared" si="9"/>
        <v>0</v>
      </c>
      <c r="L115" s="280">
        <f t="shared" si="10"/>
        <v>0</v>
      </c>
    </row>
    <row r="116" spans="1:12" x14ac:dyDescent="0.25">
      <c r="A116" s="98" t="s">
        <v>172</v>
      </c>
      <c r="B116" s="132" t="s">
        <v>9</v>
      </c>
      <c r="C116" s="132">
        <v>80900</v>
      </c>
      <c r="D116" s="133" t="str">
        <f>'MEMÓRIA DE CÁLCULO'!B253</f>
        <v>R E G I S T R O S</v>
      </c>
      <c r="E116" s="134"/>
      <c r="F116" s="132"/>
      <c r="G116" s="135"/>
      <c r="H116" s="135"/>
      <c r="I116" s="102"/>
      <c r="J116" s="280">
        <f t="shared" si="8"/>
        <v>0</v>
      </c>
      <c r="K116" s="280">
        <f t="shared" si="9"/>
        <v>0</v>
      </c>
      <c r="L116" s="280">
        <f t="shared" si="10"/>
        <v>0</v>
      </c>
    </row>
    <row r="117" spans="1:12" x14ac:dyDescent="0.25">
      <c r="A117" s="98" t="s">
        <v>173</v>
      </c>
      <c r="B117" s="132" t="s">
        <v>9</v>
      </c>
      <c r="C117" s="137">
        <v>80902</v>
      </c>
      <c r="D117" s="133" t="str">
        <f>'MEMÓRIA DE CÁLCULO'!B254</f>
        <v xml:space="preserve">REGISTRO DE GAVETA BRUTO DIAMETRO 3/4" </v>
      </c>
      <c r="E117" s="134">
        <f>'MEMÓRIA DE CÁLCULO'!D254</f>
        <v>2</v>
      </c>
      <c r="F117" s="132" t="s">
        <v>378</v>
      </c>
      <c r="G117" s="138"/>
      <c r="H117" s="138"/>
      <c r="I117" s="102">
        <f t="shared" si="11"/>
        <v>0</v>
      </c>
      <c r="J117" s="280">
        <f t="shared" si="8"/>
        <v>0</v>
      </c>
      <c r="K117" s="280">
        <f t="shared" si="9"/>
        <v>0</v>
      </c>
      <c r="L117" s="280">
        <f t="shared" si="10"/>
        <v>0</v>
      </c>
    </row>
    <row r="118" spans="1:12" ht="15.75" customHeight="1" x14ac:dyDescent="0.25">
      <c r="A118" s="98" t="s">
        <v>174</v>
      </c>
      <c r="B118" s="132" t="s">
        <v>9</v>
      </c>
      <c r="C118" s="137">
        <v>80903</v>
      </c>
      <c r="D118" s="133" t="str">
        <f>'MEMÓRIA DE CÁLCULO'!B255</f>
        <v xml:space="preserve">REGISTRO DE GAVETA BRUTO DIAMETRO 1" </v>
      </c>
      <c r="E118" s="134">
        <f>'MEMÓRIA DE CÁLCULO'!D255</f>
        <v>1</v>
      </c>
      <c r="F118" s="132" t="s">
        <v>378</v>
      </c>
      <c r="G118" s="138"/>
      <c r="H118" s="138"/>
      <c r="I118" s="102">
        <f t="shared" si="11"/>
        <v>0</v>
      </c>
      <c r="J118" s="280">
        <f t="shared" si="8"/>
        <v>0</v>
      </c>
      <c r="K118" s="280">
        <f t="shared" si="9"/>
        <v>0</v>
      </c>
      <c r="L118" s="280">
        <f t="shared" si="10"/>
        <v>0</v>
      </c>
    </row>
    <row r="119" spans="1:12" ht="15.75" customHeight="1" x14ac:dyDescent="0.25">
      <c r="A119" s="98" t="s">
        <v>175</v>
      </c>
      <c r="B119" s="132" t="s">
        <v>9</v>
      </c>
      <c r="C119" s="137">
        <v>80926</v>
      </c>
      <c r="D119" s="133" t="str">
        <f>'MEMÓRIA DE CÁLCULO'!B256</f>
        <v>REGISTRO DE GAVETA C/CANOPLA DIAMETRO 3/4"</v>
      </c>
      <c r="E119" s="134">
        <f>'MEMÓRIA DE CÁLCULO'!D256</f>
        <v>1</v>
      </c>
      <c r="F119" s="132" t="s">
        <v>378</v>
      </c>
      <c r="G119" s="138"/>
      <c r="H119" s="138"/>
      <c r="I119" s="102">
        <f t="shared" si="11"/>
        <v>0</v>
      </c>
      <c r="J119" s="280">
        <f t="shared" si="8"/>
        <v>0</v>
      </c>
      <c r="K119" s="280">
        <f t="shared" si="9"/>
        <v>0</v>
      </c>
      <c r="L119" s="280">
        <f t="shared" si="10"/>
        <v>0</v>
      </c>
    </row>
    <row r="120" spans="1:12" ht="15.75" customHeight="1" x14ac:dyDescent="0.25">
      <c r="A120" s="98" t="s">
        <v>176</v>
      </c>
      <c r="B120" s="132" t="s">
        <v>9</v>
      </c>
      <c r="C120" s="132">
        <v>80903</v>
      </c>
      <c r="D120" s="133" t="str">
        <f>'MEMÓRIA DE CÁLCULO'!B257</f>
        <v>REGISTRO DE GAVETA C/CANOPLA DIAMETRO 1"</v>
      </c>
      <c r="E120" s="134">
        <f>'MEMÓRIA DE CÁLCULO'!D257</f>
        <v>1</v>
      </c>
      <c r="F120" s="132" t="s">
        <v>378</v>
      </c>
      <c r="G120" s="135"/>
      <c r="H120" s="135"/>
      <c r="I120" s="102">
        <f t="shared" si="11"/>
        <v>0</v>
      </c>
      <c r="J120" s="280">
        <f t="shared" si="8"/>
        <v>0</v>
      </c>
      <c r="K120" s="280">
        <f t="shared" si="9"/>
        <v>0</v>
      </c>
      <c r="L120" s="280">
        <f t="shared" si="10"/>
        <v>0</v>
      </c>
    </row>
    <row r="121" spans="1:12" x14ac:dyDescent="0.25">
      <c r="A121" s="98" t="s">
        <v>177</v>
      </c>
      <c r="B121" s="132" t="s">
        <v>9</v>
      </c>
      <c r="C121" s="137">
        <v>81000</v>
      </c>
      <c r="D121" s="133" t="str">
        <f>'MEMÓRIA DE CÁLCULO'!B258</f>
        <v>AGUA FRIA</v>
      </c>
      <c r="E121" s="134"/>
      <c r="F121" s="142"/>
      <c r="G121" s="138"/>
      <c r="H121" s="138"/>
      <c r="I121" s="102"/>
      <c r="J121" s="280">
        <f t="shared" ref="J121:J150" si="16">G121*E121</f>
        <v>0</v>
      </c>
      <c r="K121" s="280">
        <f t="shared" ref="K121:K150" si="17">H121*E121</f>
        <v>0</v>
      </c>
      <c r="L121" s="280">
        <f t="shared" si="10"/>
        <v>0</v>
      </c>
    </row>
    <row r="122" spans="1:12" x14ac:dyDescent="0.25">
      <c r="A122" s="98" t="s">
        <v>178</v>
      </c>
      <c r="B122" s="132" t="s">
        <v>9</v>
      </c>
      <c r="C122" s="137">
        <v>81001</v>
      </c>
      <c r="D122" s="133" t="str">
        <f>'MEMÓRIA DE CÁLCULO'!B259</f>
        <v>T U B O S DE P V C S O L D A V E L</v>
      </c>
      <c r="E122" s="134"/>
      <c r="F122" s="142"/>
      <c r="G122" s="138"/>
      <c r="H122" s="138"/>
      <c r="I122" s="102"/>
      <c r="J122" s="280">
        <f t="shared" si="16"/>
        <v>0</v>
      </c>
      <c r="K122" s="280">
        <f t="shared" si="17"/>
        <v>0</v>
      </c>
      <c r="L122" s="280">
        <f t="shared" si="10"/>
        <v>0</v>
      </c>
    </row>
    <row r="123" spans="1:12" ht="15.75" customHeight="1" x14ac:dyDescent="0.25">
      <c r="A123" s="98" t="s">
        <v>179</v>
      </c>
      <c r="B123" s="132" t="s">
        <v>9</v>
      </c>
      <c r="C123" s="132">
        <v>81002</v>
      </c>
      <c r="D123" s="133" t="str">
        <f>'MEMÓRIA DE CÁLCULO'!B260</f>
        <v xml:space="preserve">TUBO SOLDAVEL PVC MARROM DIAMETRO 20 mm </v>
      </c>
      <c r="E123" s="134">
        <f>'MEMÓRIA DE CÁLCULO'!D260</f>
        <v>15</v>
      </c>
      <c r="F123" s="132" t="s">
        <v>25</v>
      </c>
      <c r="G123" s="135"/>
      <c r="H123" s="135"/>
      <c r="I123" s="102">
        <f t="shared" si="11"/>
        <v>0</v>
      </c>
      <c r="J123" s="280">
        <f t="shared" si="16"/>
        <v>0</v>
      </c>
      <c r="K123" s="280">
        <f t="shared" si="17"/>
        <v>0</v>
      </c>
      <c r="L123" s="280">
        <f t="shared" si="10"/>
        <v>0</v>
      </c>
    </row>
    <row r="124" spans="1:12" x14ac:dyDescent="0.25">
      <c r="A124" s="98" t="s">
        <v>180</v>
      </c>
      <c r="B124" s="132" t="s">
        <v>9</v>
      </c>
      <c r="C124" s="137">
        <v>81003</v>
      </c>
      <c r="D124" s="133" t="str">
        <f>'MEMÓRIA DE CÁLCULO'!B261</f>
        <v xml:space="preserve">TUBO SOLDAVEL PVC MARROM DIAMETRO 25 mm </v>
      </c>
      <c r="E124" s="134">
        <f>'MEMÓRIA DE CÁLCULO'!D261</f>
        <v>22.6</v>
      </c>
      <c r="F124" s="142" t="s">
        <v>130</v>
      </c>
      <c r="G124" s="138"/>
      <c r="H124" s="138"/>
      <c r="I124" s="102">
        <f t="shared" si="11"/>
        <v>0</v>
      </c>
      <c r="J124" s="280">
        <f t="shared" si="16"/>
        <v>0</v>
      </c>
      <c r="K124" s="280">
        <f t="shared" si="17"/>
        <v>0</v>
      </c>
      <c r="L124" s="280">
        <f t="shared" si="10"/>
        <v>0</v>
      </c>
    </row>
    <row r="125" spans="1:12" ht="15.75" customHeight="1" x14ac:dyDescent="0.25">
      <c r="A125" s="98" t="s">
        <v>181</v>
      </c>
      <c r="B125" s="132" t="s">
        <v>9</v>
      </c>
      <c r="C125" s="137">
        <v>81004</v>
      </c>
      <c r="D125" s="133" t="str">
        <f>'MEMÓRIA DE CÁLCULO'!B262</f>
        <v xml:space="preserve">TUBO SOLDAVEL PVC MARROM DIAMETRO 32 mm </v>
      </c>
      <c r="E125" s="134">
        <f>'MEMÓRIA DE CÁLCULO'!D262</f>
        <v>9.4</v>
      </c>
      <c r="F125" s="142" t="s">
        <v>130</v>
      </c>
      <c r="G125" s="138"/>
      <c r="H125" s="138"/>
      <c r="I125" s="102">
        <f t="shared" si="11"/>
        <v>0</v>
      </c>
      <c r="J125" s="280">
        <f t="shared" si="16"/>
        <v>0</v>
      </c>
      <c r="K125" s="280">
        <f t="shared" si="17"/>
        <v>0</v>
      </c>
      <c r="L125" s="280">
        <f t="shared" si="10"/>
        <v>0</v>
      </c>
    </row>
    <row r="126" spans="1:12" x14ac:dyDescent="0.25">
      <c r="A126" s="98" t="s">
        <v>182</v>
      </c>
      <c r="B126" s="132" t="s">
        <v>9</v>
      </c>
      <c r="C126" s="137">
        <v>81040</v>
      </c>
      <c r="D126" s="133" t="str">
        <f>'MEMÓRIA DE CÁLCULO'!B263</f>
        <v>A D A P T A D O R E S DE P V C S O L D A V E</v>
      </c>
      <c r="E126" s="134"/>
      <c r="F126" s="142"/>
      <c r="G126" s="138"/>
      <c r="H126" s="138"/>
      <c r="I126" s="102"/>
      <c r="J126" s="280">
        <f t="shared" si="16"/>
        <v>0</v>
      </c>
      <c r="K126" s="280">
        <f t="shared" si="17"/>
        <v>0</v>
      </c>
      <c r="L126" s="280">
        <f t="shared" si="10"/>
        <v>0</v>
      </c>
    </row>
    <row r="127" spans="1:12" ht="15.75" customHeight="1" x14ac:dyDescent="0.25">
      <c r="A127" s="98" t="s">
        <v>183</v>
      </c>
      <c r="B127" s="132" t="s">
        <v>9</v>
      </c>
      <c r="C127" s="132">
        <v>81056</v>
      </c>
      <c r="D127" s="133" t="str">
        <f>'MEMÓRIA DE CÁLCULO'!B264</f>
        <v>ADAPTADOR SOLD.C/FLANGES LIVRES P/CX.DAGUA 32X1"</v>
      </c>
      <c r="E127" s="134">
        <f>'MEMÓRIA DE CÁLCULO'!D264</f>
        <v>1</v>
      </c>
      <c r="F127" s="132" t="s">
        <v>378</v>
      </c>
      <c r="G127" s="135"/>
      <c r="H127" s="135"/>
      <c r="I127" s="102">
        <f t="shared" si="11"/>
        <v>0</v>
      </c>
      <c r="J127" s="280">
        <f t="shared" si="16"/>
        <v>0</v>
      </c>
      <c r="K127" s="280">
        <f t="shared" si="17"/>
        <v>0</v>
      </c>
      <c r="L127" s="280">
        <f t="shared" si="10"/>
        <v>0</v>
      </c>
    </row>
    <row r="128" spans="1:12" ht="15.75" customHeight="1" x14ac:dyDescent="0.25">
      <c r="A128" s="98" t="s">
        <v>184</v>
      </c>
      <c r="B128" s="132" t="s">
        <v>9</v>
      </c>
      <c r="C128" s="132">
        <v>81066</v>
      </c>
      <c r="D128" s="133" t="str">
        <f>'MEMÓRIA DE CÁLCULO'!B265</f>
        <v xml:space="preserve">ADAPTAD.SOLD.CURTO C/BOLSA E ROSCA P/REG.25X3/4" </v>
      </c>
      <c r="E128" s="134">
        <f>'MEMÓRIA DE CÁLCULO'!D265</f>
        <v>2</v>
      </c>
      <c r="F128" s="132" t="s">
        <v>378</v>
      </c>
      <c r="G128" s="135"/>
      <c r="H128" s="135"/>
      <c r="I128" s="102">
        <f t="shared" si="11"/>
        <v>0</v>
      </c>
      <c r="J128" s="280">
        <f t="shared" si="16"/>
        <v>0</v>
      </c>
      <c r="K128" s="280">
        <f t="shared" si="17"/>
        <v>0</v>
      </c>
      <c r="L128" s="280">
        <f t="shared" si="10"/>
        <v>0</v>
      </c>
    </row>
    <row r="129" spans="1:12" ht="15.75" customHeight="1" x14ac:dyDescent="0.25">
      <c r="A129" s="98" t="s">
        <v>185</v>
      </c>
      <c r="B129" s="132" t="s">
        <v>9</v>
      </c>
      <c r="C129" s="137">
        <v>81067</v>
      </c>
      <c r="D129" s="133" t="str">
        <f>'MEMÓRIA DE CÁLCULO'!B266</f>
        <v xml:space="preserve">ADAPTAD.SOLD.CURTO C/BOLSA E ROSCA P/REG.32X1" </v>
      </c>
      <c r="E129" s="134">
        <f>'MEMÓRIA DE CÁLCULO'!D266</f>
        <v>2</v>
      </c>
      <c r="F129" s="132" t="s">
        <v>378</v>
      </c>
      <c r="G129" s="138"/>
      <c r="H129" s="138"/>
      <c r="I129" s="102">
        <f t="shared" si="11"/>
        <v>0</v>
      </c>
      <c r="J129" s="280">
        <f t="shared" si="16"/>
        <v>0</v>
      </c>
      <c r="K129" s="280">
        <f t="shared" si="17"/>
        <v>0</v>
      </c>
      <c r="L129" s="280">
        <f t="shared" si="10"/>
        <v>0</v>
      </c>
    </row>
    <row r="130" spans="1:12" x14ac:dyDescent="0.25">
      <c r="A130" s="98" t="s">
        <v>186</v>
      </c>
      <c r="B130" s="132" t="s">
        <v>9</v>
      </c>
      <c r="C130" s="137">
        <v>81100</v>
      </c>
      <c r="D130" s="133" t="str">
        <f>'MEMÓRIA DE CÁLCULO'!B267</f>
        <v xml:space="preserve"> L U V A S DE P V C</v>
      </c>
      <c r="E130" s="134"/>
      <c r="F130" s="142"/>
      <c r="G130" s="138"/>
      <c r="H130" s="138"/>
      <c r="I130" s="102"/>
      <c r="J130" s="280">
        <f t="shared" si="16"/>
        <v>0</v>
      </c>
      <c r="K130" s="280">
        <f t="shared" si="17"/>
        <v>0</v>
      </c>
      <c r="L130" s="280">
        <f t="shared" si="10"/>
        <v>0</v>
      </c>
    </row>
    <row r="131" spans="1:12" x14ac:dyDescent="0.25">
      <c r="A131" s="98" t="s">
        <v>187</v>
      </c>
      <c r="B131" s="132" t="s">
        <v>9</v>
      </c>
      <c r="C131" s="137">
        <v>81102</v>
      </c>
      <c r="D131" s="133" t="str">
        <f>'MEMÓRIA DE CÁLCULO'!B268</f>
        <v xml:space="preserve">LUVA SOLDAVEL DIAMETRO 25 mm </v>
      </c>
      <c r="E131" s="134">
        <f>'MEMÓRIA DE CÁLCULO'!D268</f>
        <v>2</v>
      </c>
      <c r="F131" s="132" t="s">
        <v>378</v>
      </c>
      <c r="G131" s="138"/>
      <c r="H131" s="138"/>
      <c r="I131" s="102">
        <f t="shared" si="11"/>
        <v>0</v>
      </c>
      <c r="J131" s="280">
        <f t="shared" si="16"/>
        <v>0</v>
      </c>
      <c r="K131" s="280">
        <f t="shared" si="17"/>
        <v>0</v>
      </c>
      <c r="L131" s="280">
        <f t="shared" si="10"/>
        <v>0</v>
      </c>
    </row>
    <row r="132" spans="1:12" ht="15.75" customHeight="1" x14ac:dyDescent="0.25">
      <c r="A132" s="98" t="s">
        <v>188</v>
      </c>
      <c r="B132" s="132" t="s">
        <v>9</v>
      </c>
      <c r="C132" s="132">
        <v>81103</v>
      </c>
      <c r="D132" s="133" t="str">
        <f>'MEMÓRIA DE CÁLCULO'!B269</f>
        <v xml:space="preserve">LUVA SOLDAVEL DIAMETRO 32 mm </v>
      </c>
      <c r="E132" s="134">
        <f>'MEMÓRIA DE CÁLCULO'!D269</f>
        <v>1</v>
      </c>
      <c r="F132" s="132" t="s">
        <v>378</v>
      </c>
      <c r="G132" s="135"/>
      <c r="H132" s="135"/>
      <c r="I132" s="102">
        <f t="shared" si="11"/>
        <v>0</v>
      </c>
      <c r="J132" s="280">
        <f t="shared" si="16"/>
        <v>0</v>
      </c>
      <c r="K132" s="280">
        <f t="shared" si="17"/>
        <v>0</v>
      </c>
      <c r="L132" s="280">
        <f t="shared" si="10"/>
        <v>0</v>
      </c>
    </row>
    <row r="133" spans="1:12" ht="15.75" customHeight="1" x14ac:dyDescent="0.25">
      <c r="A133" s="98" t="s">
        <v>189</v>
      </c>
      <c r="B133" s="132" t="s">
        <v>9</v>
      </c>
      <c r="C133" s="132">
        <v>81160</v>
      </c>
      <c r="D133" s="133" t="str">
        <f>'MEMÓRIA DE CÁLCULO'!B270</f>
        <v>B U C H A S</v>
      </c>
      <c r="E133" s="134">
        <f>'MEMÓRIA DE CÁLCULO'!D270</f>
        <v>0</v>
      </c>
      <c r="F133" s="132"/>
      <c r="G133" s="135"/>
      <c r="H133" s="135"/>
      <c r="I133" s="102"/>
      <c r="J133" s="280">
        <f t="shared" si="16"/>
        <v>0</v>
      </c>
      <c r="K133" s="280">
        <f t="shared" si="17"/>
        <v>0</v>
      </c>
      <c r="L133" s="280">
        <f t="shared" si="10"/>
        <v>0</v>
      </c>
    </row>
    <row r="134" spans="1:12" ht="15.75" customHeight="1" x14ac:dyDescent="0.25">
      <c r="A134" s="98" t="s">
        <v>190</v>
      </c>
      <c r="B134" s="132" t="s">
        <v>9</v>
      </c>
      <c r="C134" s="137">
        <v>81162</v>
      </c>
      <c r="D134" s="133" t="str">
        <f>'MEMÓRIA DE CÁLCULO'!B271</f>
        <v xml:space="preserve">BUCHA DE REDUCAO SOLD.CURTA 32 X 25 MM </v>
      </c>
      <c r="E134" s="134">
        <f>'MEMÓRIA DE CÁLCULO'!D271</f>
        <v>1</v>
      </c>
      <c r="F134" s="132" t="s">
        <v>378</v>
      </c>
      <c r="G134" s="138"/>
      <c r="H134" s="138"/>
      <c r="I134" s="102">
        <f t="shared" si="11"/>
        <v>0</v>
      </c>
      <c r="J134" s="280">
        <f t="shared" si="16"/>
        <v>0</v>
      </c>
      <c r="K134" s="280">
        <f t="shared" si="17"/>
        <v>0</v>
      </c>
      <c r="L134" s="280">
        <f t="shared" si="10"/>
        <v>0</v>
      </c>
    </row>
    <row r="135" spans="1:12" x14ac:dyDescent="0.25">
      <c r="A135" s="98" t="s">
        <v>191</v>
      </c>
      <c r="B135" s="132" t="s">
        <v>9</v>
      </c>
      <c r="C135" s="137">
        <v>81300</v>
      </c>
      <c r="D135" s="133" t="str">
        <f>'MEMÓRIA DE CÁLCULO'!B272</f>
        <v xml:space="preserve"> J O E L H O S</v>
      </c>
      <c r="E135" s="134"/>
      <c r="F135" s="142"/>
      <c r="G135" s="138"/>
      <c r="H135" s="138"/>
      <c r="I135" s="102"/>
      <c r="J135" s="280">
        <f t="shared" si="16"/>
        <v>0</v>
      </c>
      <c r="K135" s="280">
        <f t="shared" si="17"/>
        <v>0</v>
      </c>
      <c r="L135" s="280">
        <f t="shared" si="10"/>
        <v>0</v>
      </c>
    </row>
    <row r="136" spans="1:12" x14ac:dyDescent="0.25">
      <c r="A136" s="98" t="s">
        <v>192</v>
      </c>
      <c r="B136" s="132" t="s">
        <v>9</v>
      </c>
      <c r="C136" s="137">
        <v>81320</v>
      </c>
      <c r="D136" s="133" t="str">
        <f>'MEMÓRIA DE CÁLCULO'!B273</f>
        <v xml:space="preserve">JOELHO 90 GRAUS SOLDAVEL DIAMETRO 20 MM </v>
      </c>
      <c r="E136" s="134">
        <f>'MEMÓRIA DE CÁLCULO'!D273</f>
        <v>3</v>
      </c>
      <c r="F136" s="132" t="s">
        <v>378</v>
      </c>
      <c r="G136" s="138"/>
      <c r="H136" s="138"/>
      <c r="I136" s="102">
        <f t="shared" si="11"/>
        <v>0</v>
      </c>
      <c r="J136" s="280">
        <f t="shared" ref="J136" si="18">G136*E136</f>
        <v>0</v>
      </c>
      <c r="K136" s="280">
        <f t="shared" ref="K136" si="19">H136*E136</f>
        <v>0</v>
      </c>
      <c r="L136" s="280">
        <f t="shared" si="10"/>
        <v>0</v>
      </c>
    </row>
    <row r="137" spans="1:12" x14ac:dyDescent="0.25">
      <c r="A137" s="98" t="s">
        <v>193</v>
      </c>
      <c r="B137" s="132" t="s">
        <v>9</v>
      </c>
      <c r="C137" s="137">
        <v>81321</v>
      </c>
      <c r="D137" s="133" t="str">
        <f>'MEMÓRIA DE CÁLCULO'!B274</f>
        <v xml:space="preserve">JOELHO 90 GRAUS SOLDAVEL DIAMETRO 25 MM </v>
      </c>
      <c r="E137" s="134">
        <f>'MEMÓRIA DE CÁLCULO'!D274</f>
        <v>6</v>
      </c>
      <c r="F137" s="132" t="s">
        <v>378</v>
      </c>
      <c r="G137" s="138"/>
      <c r="H137" s="138"/>
      <c r="I137" s="102">
        <f t="shared" si="11"/>
        <v>0</v>
      </c>
      <c r="J137" s="280">
        <f t="shared" si="16"/>
        <v>0</v>
      </c>
      <c r="K137" s="280">
        <f t="shared" si="17"/>
        <v>0</v>
      </c>
      <c r="L137" s="280">
        <f t="shared" si="10"/>
        <v>0</v>
      </c>
    </row>
    <row r="138" spans="1:12" ht="15.75" customHeight="1" x14ac:dyDescent="0.25">
      <c r="A138" s="98" t="s">
        <v>194</v>
      </c>
      <c r="B138" s="132" t="s">
        <v>9</v>
      </c>
      <c r="C138" s="137">
        <v>81322</v>
      </c>
      <c r="D138" s="133" t="str">
        <f>'MEMÓRIA DE CÁLCULO'!B275</f>
        <v xml:space="preserve">JOELHO 90 GRAUS SOLDAVEL DIAMETRO 32 MM (1") </v>
      </c>
      <c r="E138" s="134">
        <f>'MEMÓRIA DE CÁLCULO'!D275</f>
        <v>6</v>
      </c>
      <c r="F138" s="132" t="s">
        <v>378</v>
      </c>
      <c r="G138" s="138"/>
      <c r="H138" s="138"/>
      <c r="I138" s="102">
        <f t="shared" si="11"/>
        <v>0</v>
      </c>
      <c r="J138" s="280">
        <f t="shared" si="16"/>
        <v>0</v>
      </c>
      <c r="K138" s="280">
        <f t="shared" si="17"/>
        <v>0</v>
      </c>
      <c r="L138" s="280">
        <f t="shared" si="10"/>
        <v>0</v>
      </c>
    </row>
    <row r="139" spans="1:12" ht="15.75" customHeight="1" x14ac:dyDescent="0.25">
      <c r="A139" s="98" t="s">
        <v>195</v>
      </c>
      <c r="B139" s="132" t="s">
        <v>9</v>
      </c>
      <c r="C139" s="137">
        <v>81360</v>
      </c>
      <c r="D139" s="133" t="str">
        <f>'MEMÓRIA DE CÁLCULO'!B276</f>
        <v xml:space="preserve">JOELHO RED.90 GRAUS SOLD.C/BUCHA LATAO 25X1/2" </v>
      </c>
      <c r="E139" s="134">
        <f>'MEMÓRIA DE CÁLCULO'!D276</f>
        <v>2</v>
      </c>
      <c r="F139" s="132" t="s">
        <v>378</v>
      </c>
      <c r="G139" s="138"/>
      <c r="H139" s="138"/>
      <c r="I139" s="102">
        <f t="shared" si="11"/>
        <v>0</v>
      </c>
      <c r="J139" s="280">
        <f t="shared" si="16"/>
        <v>0</v>
      </c>
      <c r="K139" s="280">
        <f t="shared" si="17"/>
        <v>0</v>
      </c>
      <c r="L139" s="280">
        <f t="shared" si="10"/>
        <v>0</v>
      </c>
    </row>
    <row r="140" spans="1:12" x14ac:dyDescent="0.25">
      <c r="A140" s="98" t="s">
        <v>196</v>
      </c>
      <c r="B140" s="132" t="s">
        <v>9</v>
      </c>
      <c r="C140" s="137">
        <v>81340</v>
      </c>
      <c r="D140" s="133" t="str">
        <f>'MEMÓRIA DE CÁLCULO'!B277</f>
        <v>JOELHO REDUÇÃO 90º SOLDÁVEL  32 mm X 25 mm</v>
      </c>
      <c r="E140" s="134">
        <f>'MEMÓRIA DE CÁLCULO'!D277</f>
        <v>2</v>
      </c>
      <c r="F140" s="132" t="s">
        <v>378</v>
      </c>
      <c r="G140" s="138"/>
      <c r="H140" s="138"/>
      <c r="I140" s="102">
        <f t="shared" si="11"/>
        <v>0</v>
      </c>
      <c r="J140" s="280">
        <f t="shared" si="16"/>
        <v>0</v>
      </c>
      <c r="K140" s="280">
        <f t="shared" si="17"/>
        <v>0</v>
      </c>
      <c r="L140" s="280">
        <f t="shared" si="10"/>
        <v>0</v>
      </c>
    </row>
    <row r="141" spans="1:12" x14ac:dyDescent="0.25">
      <c r="A141" s="98" t="s">
        <v>197</v>
      </c>
      <c r="B141" s="132" t="s">
        <v>9</v>
      </c>
      <c r="C141" s="132">
        <v>81400</v>
      </c>
      <c r="D141" s="133" t="str">
        <f>'MEMÓRIA DE CÁLCULO'!B278</f>
        <v xml:space="preserve"> T E</v>
      </c>
      <c r="E141" s="134"/>
      <c r="F141" s="132"/>
      <c r="G141" s="135"/>
      <c r="H141" s="135"/>
      <c r="I141" s="102"/>
      <c r="J141" s="280">
        <f t="shared" si="16"/>
        <v>0</v>
      </c>
      <c r="K141" s="280">
        <f t="shared" si="17"/>
        <v>0</v>
      </c>
      <c r="L141" s="280">
        <f t="shared" si="10"/>
        <v>0</v>
      </c>
    </row>
    <row r="142" spans="1:12" x14ac:dyDescent="0.25">
      <c r="A142" s="98" t="s">
        <v>198</v>
      </c>
      <c r="B142" s="132" t="s">
        <v>9</v>
      </c>
      <c r="C142" s="137">
        <v>81402</v>
      </c>
      <c r="D142" s="133" t="str">
        <f>'MEMÓRIA DE CÁLCULO'!B279</f>
        <v xml:space="preserve"> TE 90 GRAUS SOLDAVEL DIAMETRO 25 mm</v>
      </c>
      <c r="E142" s="134">
        <f>'MEMÓRIA DE CÁLCULO'!D279</f>
        <v>3</v>
      </c>
      <c r="F142" s="132" t="s">
        <v>378</v>
      </c>
      <c r="G142" s="138"/>
      <c r="H142" s="138"/>
      <c r="I142" s="102">
        <f t="shared" si="11"/>
        <v>0</v>
      </c>
      <c r="J142" s="280">
        <f t="shared" si="16"/>
        <v>0</v>
      </c>
      <c r="K142" s="280">
        <f t="shared" si="17"/>
        <v>0</v>
      </c>
      <c r="L142" s="280">
        <f t="shared" si="10"/>
        <v>0</v>
      </c>
    </row>
    <row r="143" spans="1:12" ht="15.75" customHeight="1" x14ac:dyDescent="0.25">
      <c r="A143" s="98" t="s">
        <v>199</v>
      </c>
      <c r="B143" s="132" t="s">
        <v>9</v>
      </c>
      <c r="C143" s="137">
        <v>81403</v>
      </c>
      <c r="D143" s="133" t="str">
        <f>'MEMÓRIA DE CÁLCULO'!B280</f>
        <v xml:space="preserve">TE 90 GRAUS SOLDAVEL DIAMETRO 32 mm </v>
      </c>
      <c r="E143" s="134">
        <f>'MEMÓRIA DE CÁLCULO'!D280</f>
        <v>1</v>
      </c>
      <c r="F143" s="132" t="s">
        <v>378</v>
      </c>
      <c r="G143" s="138"/>
      <c r="H143" s="138"/>
      <c r="I143" s="102">
        <f t="shared" si="11"/>
        <v>0</v>
      </c>
      <c r="J143" s="280">
        <f t="shared" si="16"/>
        <v>0</v>
      </c>
      <c r="K143" s="280">
        <f t="shared" si="17"/>
        <v>0</v>
      </c>
      <c r="L143" s="280">
        <f t="shared" ref="L143:L205" si="20">K143+J143</f>
        <v>0</v>
      </c>
    </row>
    <row r="144" spans="1:12" ht="15.75" customHeight="1" x14ac:dyDescent="0.25">
      <c r="A144" s="98" t="s">
        <v>200</v>
      </c>
      <c r="B144" s="132" t="s">
        <v>9</v>
      </c>
      <c r="C144" s="137">
        <v>81421</v>
      </c>
      <c r="D144" s="133" t="str">
        <f>'MEMÓRIA DE CÁLCULO'!B281</f>
        <v xml:space="preserve">TE REDUCAO 90 GRAUS SOLDAVEL 32 X 25 mm </v>
      </c>
      <c r="E144" s="134">
        <f>'MEMÓRIA DE CÁLCULO'!D281</f>
        <v>1</v>
      </c>
      <c r="F144" s="132" t="s">
        <v>378</v>
      </c>
      <c r="G144" s="138"/>
      <c r="H144" s="138"/>
      <c r="I144" s="102">
        <f t="shared" si="11"/>
        <v>0</v>
      </c>
      <c r="J144" s="280">
        <f t="shared" si="16"/>
        <v>0</v>
      </c>
      <c r="K144" s="280">
        <f t="shared" si="17"/>
        <v>0</v>
      </c>
      <c r="L144" s="280">
        <f t="shared" si="20"/>
        <v>0</v>
      </c>
    </row>
    <row r="145" spans="1:12" x14ac:dyDescent="0.25">
      <c r="A145" s="98" t="s">
        <v>201</v>
      </c>
      <c r="B145" s="132" t="s">
        <v>9</v>
      </c>
      <c r="C145" s="142">
        <v>81600</v>
      </c>
      <c r="D145" s="133" t="str">
        <f>'MEMÓRIA DE CÁLCULO'!B282</f>
        <v>E S G O T O S A N I T A R I O</v>
      </c>
      <c r="E145" s="134"/>
      <c r="F145" s="141"/>
      <c r="G145" s="138"/>
      <c r="H145" s="138"/>
      <c r="I145" s="102"/>
      <c r="J145" s="280">
        <f t="shared" si="16"/>
        <v>0</v>
      </c>
      <c r="K145" s="280">
        <f t="shared" si="17"/>
        <v>0</v>
      </c>
      <c r="L145" s="280">
        <f t="shared" si="20"/>
        <v>0</v>
      </c>
    </row>
    <row r="146" spans="1:12" x14ac:dyDescent="0.25">
      <c r="A146" s="98" t="s">
        <v>202</v>
      </c>
      <c r="B146" s="132" t="s">
        <v>9</v>
      </c>
      <c r="C146" s="137">
        <v>81660</v>
      </c>
      <c r="D146" s="133" t="str">
        <f>'MEMÓRIA DE CÁLCULO'!B283</f>
        <v>C O R P O DE C A I X A S I F O N A D A/R A L O</v>
      </c>
      <c r="E146" s="134"/>
      <c r="F146" s="141"/>
      <c r="G146" s="138"/>
      <c r="H146" s="138"/>
      <c r="I146" s="102"/>
      <c r="J146" s="280">
        <f t="shared" si="16"/>
        <v>0</v>
      </c>
      <c r="K146" s="280">
        <f t="shared" si="17"/>
        <v>0</v>
      </c>
      <c r="L146" s="280">
        <f t="shared" si="20"/>
        <v>0</v>
      </c>
    </row>
    <row r="147" spans="1:12" x14ac:dyDescent="0.25">
      <c r="A147" s="98" t="s">
        <v>203</v>
      </c>
      <c r="B147" s="132" t="s">
        <v>9</v>
      </c>
      <c r="C147" s="132">
        <v>81662</v>
      </c>
      <c r="D147" s="133" t="str">
        <f>'MEMÓRIA DE CÁLCULO'!B284</f>
        <v xml:space="preserve">CORPO CX. SIFONADA DIAM. 100 X 150 X 50 </v>
      </c>
      <c r="E147" s="134">
        <f>'MEMÓRIA DE CÁLCULO'!D284</f>
        <v>3</v>
      </c>
      <c r="F147" s="132" t="s">
        <v>378</v>
      </c>
      <c r="G147" s="135"/>
      <c r="H147" s="135"/>
      <c r="I147" s="102">
        <f t="shared" si="11"/>
        <v>0</v>
      </c>
      <c r="J147" s="280">
        <f t="shared" si="16"/>
        <v>0</v>
      </c>
      <c r="K147" s="280">
        <f t="shared" si="17"/>
        <v>0</v>
      </c>
      <c r="L147" s="280">
        <f t="shared" si="20"/>
        <v>0</v>
      </c>
    </row>
    <row r="148" spans="1:12" x14ac:dyDescent="0.25">
      <c r="A148" s="98" t="s">
        <v>204</v>
      </c>
      <c r="B148" s="132" t="s">
        <v>9</v>
      </c>
      <c r="C148" s="137">
        <v>81660</v>
      </c>
      <c r="D148" s="133" t="str">
        <f>'MEMÓRIA DE CÁLCULO'!B285</f>
        <v>G R E L H A S</v>
      </c>
      <c r="E148" s="134"/>
      <c r="F148" s="141"/>
      <c r="G148" s="138"/>
      <c r="H148" s="138"/>
      <c r="I148" s="102"/>
      <c r="J148" s="280">
        <f t="shared" ref="J148:J149" si="21">G148*E148</f>
        <v>0</v>
      </c>
      <c r="K148" s="280">
        <f t="shared" ref="K148:K149" si="22">H148*E148</f>
        <v>0</v>
      </c>
      <c r="L148" s="280">
        <f t="shared" si="20"/>
        <v>0</v>
      </c>
    </row>
    <row r="149" spans="1:12" x14ac:dyDescent="0.25">
      <c r="A149" s="98" t="s">
        <v>205</v>
      </c>
      <c r="B149" s="132" t="s">
        <v>9</v>
      </c>
      <c r="C149" s="132">
        <v>81792</v>
      </c>
      <c r="D149" s="133" t="str">
        <f>'MEMÓRIA DE CÁLCULO'!B286</f>
        <v>GRELHA REDONDA CROMADA DIAM.100 MM</v>
      </c>
      <c r="E149" s="134">
        <f>'MEMÓRIA DE CÁLCULO'!D286</f>
        <v>3</v>
      </c>
      <c r="F149" s="132" t="s">
        <v>378</v>
      </c>
      <c r="G149" s="135"/>
      <c r="H149" s="135"/>
      <c r="I149" s="102">
        <f t="shared" si="11"/>
        <v>0</v>
      </c>
      <c r="J149" s="280">
        <f t="shared" si="21"/>
        <v>0</v>
      </c>
      <c r="K149" s="280">
        <f t="shared" si="22"/>
        <v>0</v>
      </c>
      <c r="L149" s="280">
        <f t="shared" si="20"/>
        <v>0</v>
      </c>
    </row>
    <row r="150" spans="1:12" ht="15.75" customHeight="1" x14ac:dyDescent="0.25">
      <c r="A150" s="98" t="s">
        <v>206</v>
      </c>
      <c r="B150" s="132" t="s">
        <v>9</v>
      </c>
      <c r="C150" s="142">
        <v>81690</v>
      </c>
      <c r="D150" s="133" t="str">
        <f>'MEMÓRIA DE CÁLCULO'!B288</f>
        <v xml:space="preserve">CORPO RALO SIFONADO CILINDRICO 100 X 40 </v>
      </c>
      <c r="E150" s="134">
        <f>'MEMÓRIA DE CÁLCULO'!D288</f>
        <v>3</v>
      </c>
      <c r="F150" s="132" t="s">
        <v>378</v>
      </c>
      <c r="G150" s="138"/>
      <c r="H150" s="138"/>
      <c r="I150" s="102">
        <f t="shared" si="11"/>
        <v>0</v>
      </c>
      <c r="J150" s="280">
        <f t="shared" si="16"/>
        <v>0</v>
      </c>
      <c r="K150" s="280">
        <f t="shared" si="17"/>
        <v>0</v>
      </c>
      <c r="L150" s="280">
        <f t="shared" si="20"/>
        <v>0</v>
      </c>
    </row>
    <row r="151" spans="1:12" x14ac:dyDescent="0.25">
      <c r="A151" s="98" t="s">
        <v>207</v>
      </c>
      <c r="B151" s="132" t="s">
        <v>9</v>
      </c>
      <c r="C151" s="132">
        <v>81810</v>
      </c>
      <c r="D151" s="133" t="str">
        <f>'MEMÓRIA DE CÁLCULO'!B289</f>
        <v>D I V E R S O S</v>
      </c>
      <c r="E151" s="134"/>
      <c r="F151" s="132"/>
      <c r="G151" s="135"/>
      <c r="H151" s="135"/>
      <c r="I151" s="102"/>
      <c r="J151" s="280">
        <f t="shared" ref="J151:J183" si="23">G151*E151</f>
        <v>0</v>
      </c>
      <c r="K151" s="280">
        <f t="shared" ref="K151:K183" si="24">H151*E151</f>
        <v>0</v>
      </c>
      <c r="L151" s="280">
        <f t="shared" si="20"/>
        <v>0</v>
      </c>
    </row>
    <row r="152" spans="1:12" x14ac:dyDescent="0.25">
      <c r="A152" s="98" t="s">
        <v>208</v>
      </c>
      <c r="B152" s="132" t="s">
        <v>9</v>
      </c>
      <c r="C152" s="132">
        <v>81811</v>
      </c>
      <c r="D152" s="133" t="str">
        <f>'MEMÓRIA DE CÁLCULO'!B290</f>
        <v xml:space="preserve">HIDROMETRO DIAM.RAMAL = 25 MM VAZAO =1,5 A 3 M3 </v>
      </c>
      <c r="E152" s="134">
        <f>'MEMÓRIA DE CÁLCULO'!D290</f>
        <v>1</v>
      </c>
      <c r="F152" s="132" t="s">
        <v>378</v>
      </c>
      <c r="G152" s="135"/>
      <c r="H152" s="135"/>
      <c r="I152" s="102">
        <f t="shared" si="11"/>
        <v>0</v>
      </c>
      <c r="J152" s="280">
        <f t="shared" si="23"/>
        <v>0</v>
      </c>
      <c r="K152" s="280">
        <f t="shared" si="24"/>
        <v>0</v>
      </c>
      <c r="L152" s="280">
        <f t="shared" si="20"/>
        <v>0</v>
      </c>
    </row>
    <row r="153" spans="1:12" x14ac:dyDescent="0.25">
      <c r="A153" s="98" t="s">
        <v>209</v>
      </c>
      <c r="B153" s="132" t="s">
        <v>9</v>
      </c>
      <c r="C153" s="139">
        <v>81815</v>
      </c>
      <c r="D153" s="133" t="str">
        <f>'MEMÓRIA DE CÁLCULO'!B291</f>
        <v xml:space="preserve">KIT CAVALETE D=25MM P/HIDRÔMETRO 1,5-3,0-5,0 M3/MURETA/CAIXA </v>
      </c>
      <c r="E153" s="134">
        <f>'MEMÓRIA DE CÁLCULO'!D291</f>
        <v>1</v>
      </c>
      <c r="F153" s="132" t="s">
        <v>378</v>
      </c>
      <c r="G153" s="138"/>
      <c r="H153" s="140"/>
      <c r="I153" s="102">
        <f t="shared" si="11"/>
        <v>0</v>
      </c>
      <c r="J153" s="280">
        <f t="shared" si="23"/>
        <v>0</v>
      </c>
      <c r="K153" s="280">
        <f t="shared" si="24"/>
        <v>0</v>
      </c>
      <c r="L153" s="280">
        <f t="shared" si="20"/>
        <v>0</v>
      </c>
    </row>
    <row r="154" spans="1:12" x14ac:dyDescent="0.25">
      <c r="A154" s="98" t="s">
        <v>210</v>
      </c>
      <c r="B154" s="132" t="s">
        <v>9</v>
      </c>
      <c r="C154" s="139">
        <v>81829</v>
      </c>
      <c r="D154" s="133" t="str">
        <f>'MEMÓRIA DE CÁLCULO'!B292</f>
        <v xml:space="preserve">CAIXA DE INSPEÇÃO - TAMPA EM CONCRETO ARMADO 25 MPA E=5CM </v>
      </c>
      <c r="E154" s="134">
        <f>'MEMÓRIA DE CÁLCULO'!D292</f>
        <v>0.41000000000000003</v>
      </c>
      <c r="F154" s="142" t="s">
        <v>15</v>
      </c>
      <c r="G154" s="138"/>
      <c r="H154" s="140"/>
      <c r="I154" s="102">
        <f t="shared" si="11"/>
        <v>0</v>
      </c>
      <c r="J154" s="280">
        <f t="shared" si="23"/>
        <v>0</v>
      </c>
      <c r="K154" s="280">
        <f t="shared" si="24"/>
        <v>0</v>
      </c>
      <c r="L154" s="280">
        <f t="shared" si="20"/>
        <v>0</v>
      </c>
    </row>
    <row r="155" spans="1:12" ht="31.5" customHeight="1" x14ac:dyDescent="0.25">
      <c r="A155" s="98" t="s">
        <v>211</v>
      </c>
      <c r="B155" s="132" t="s">
        <v>9</v>
      </c>
      <c r="C155" s="132">
        <v>81830</v>
      </c>
      <c r="D155" s="133" t="str">
        <f>'MEMÓRIA DE CÁLCULO'!B293</f>
        <v>CAIXA DE INSPEÇÃO - LASTRO DE CONCRETO (COM ADIÇÃO DE IMPERMEABILIZANTE) 20MPA E=5CM PARA O FUNDO</v>
      </c>
      <c r="E155" s="134">
        <f>'MEMÓRIA DE CÁLCULO'!D293</f>
        <v>2.0500000000000004E-2</v>
      </c>
      <c r="F155" s="132" t="s">
        <v>55</v>
      </c>
      <c r="G155" s="135"/>
      <c r="H155" s="135"/>
      <c r="I155" s="102">
        <f t="shared" si="11"/>
        <v>0</v>
      </c>
      <c r="J155" s="280">
        <f t="shared" si="23"/>
        <v>0</v>
      </c>
      <c r="K155" s="280">
        <f t="shared" si="24"/>
        <v>0</v>
      </c>
      <c r="L155" s="280">
        <f t="shared" si="20"/>
        <v>0</v>
      </c>
    </row>
    <row r="156" spans="1:12" ht="31.5" customHeight="1" x14ac:dyDescent="0.25">
      <c r="A156" s="98" t="s">
        <v>212</v>
      </c>
      <c r="B156" s="132" t="s">
        <v>9</v>
      </c>
      <c r="C156" s="139">
        <v>81831</v>
      </c>
      <c r="D156" s="133" t="str">
        <f>'MEMÓRIA DE CÁLCULO'!B294</f>
        <v>CAIXA DE INSPEÇÃO - ALVENARIA DE 1/2 VEZ COM REVESTIMENTO INTERNO EM REBOCO PAULISTA A-14 (COM ADIÇÃO DE IMPERMEABILIZANTE)</v>
      </c>
      <c r="E156" s="134">
        <f>'MEMÓRIA DE CÁLCULO'!D294</f>
        <v>0.41000000000000003</v>
      </c>
      <c r="F156" s="142" t="s">
        <v>15</v>
      </c>
      <c r="G156" s="138"/>
      <c r="H156" s="140"/>
      <c r="I156" s="102">
        <f t="shared" si="11"/>
        <v>0</v>
      </c>
      <c r="J156" s="280">
        <f t="shared" si="23"/>
        <v>0</v>
      </c>
      <c r="K156" s="280">
        <f t="shared" si="24"/>
        <v>0</v>
      </c>
      <c r="L156" s="280">
        <f t="shared" si="20"/>
        <v>0</v>
      </c>
    </row>
    <row r="157" spans="1:12" ht="31.5" customHeight="1" x14ac:dyDescent="0.25">
      <c r="A157" s="98" t="s">
        <v>213</v>
      </c>
      <c r="B157" s="132" t="s">
        <v>9</v>
      </c>
      <c r="C157" s="132">
        <v>81833</v>
      </c>
      <c r="D157" s="133" t="str">
        <f>'MEMÓRIA DE CÁLCULO'!B295</f>
        <v xml:space="preserve">CAIXA DE INSPEÇÃO - ESCAVAÇÃO MANUAL / REATERRO/ APILOAMENTO DO FUNDO </v>
      </c>
      <c r="E157" s="134">
        <f>'MEMÓRIA DE CÁLCULO'!D295</f>
        <v>0.36900000000000005</v>
      </c>
      <c r="F157" s="132" t="s">
        <v>66</v>
      </c>
      <c r="G157" s="135"/>
      <c r="H157" s="135"/>
      <c r="I157" s="102">
        <f t="shared" si="11"/>
        <v>0</v>
      </c>
      <c r="J157" s="280">
        <f t="shared" si="23"/>
        <v>0</v>
      </c>
      <c r="K157" s="280">
        <f t="shared" si="24"/>
        <v>0</v>
      </c>
      <c r="L157" s="280">
        <f t="shared" si="20"/>
        <v>0</v>
      </c>
    </row>
    <row r="158" spans="1:12" s="276" customFormat="1" ht="31.5" customHeight="1" x14ac:dyDescent="0.25">
      <c r="A158" s="98" t="s">
        <v>214</v>
      </c>
      <c r="B158" s="132" t="s">
        <v>9</v>
      </c>
      <c r="C158" s="137">
        <v>81846</v>
      </c>
      <c r="D158" s="133" t="str">
        <f>'MEMÓRIA DE CÁLCULO'!B296</f>
        <v>CAIXA DE GORDURA E INSPEÇÃO EM PVC/ABS 19 LITROS COM TAMPA E PORTA TAMPA E  CESTO DE LIMPEZA REMOVÍVEL</v>
      </c>
      <c r="E158" s="134">
        <f>'MEMÓRIA DE CÁLCULO'!D296</f>
        <v>1</v>
      </c>
      <c r="F158" s="132" t="s">
        <v>378</v>
      </c>
      <c r="G158" s="138"/>
      <c r="H158" s="138"/>
      <c r="I158" s="102">
        <f t="shared" si="11"/>
        <v>0</v>
      </c>
      <c r="J158" s="283">
        <f t="shared" si="23"/>
        <v>0</v>
      </c>
      <c r="K158" s="283">
        <f t="shared" si="24"/>
        <v>0</v>
      </c>
      <c r="L158" s="283">
        <f t="shared" si="20"/>
        <v>0</v>
      </c>
    </row>
    <row r="159" spans="1:12" ht="15.75" customHeight="1" x14ac:dyDescent="0.25">
      <c r="A159" s="98" t="s">
        <v>215</v>
      </c>
      <c r="B159" s="132" t="s">
        <v>9</v>
      </c>
      <c r="C159" s="137">
        <v>81860</v>
      </c>
      <c r="D159" s="133" t="str">
        <f>'MEMÓRIA DE CÁLCULO'!B297</f>
        <v>CAIXA DAGUA POLIETILENO 500 LTS.C/TAMPA</v>
      </c>
      <c r="E159" s="134">
        <f>'MEMÓRIA DE CÁLCULO'!D297</f>
        <v>1</v>
      </c>
      <c r="F159" s="132" t="s">
        <v>378</v>
      </c>
      <c r="G159" s="138"/>
      <c r="H159" s="138"/>
      <c r="I159" s="102">
        <f t="shared" si="11"/>
        <v>0</v>
      </c>
      <c r="J159" s="280">
        <f t="shared" si="23"/>
        <v>0</v>
      </c>
      <c r="K159" s="280">
        <f t="shared" si="24"/>
        <v>0</v>
      </c>
      <c r="L159" s="280">
        <f t="shared" si="20"/>
        <v>0</v>
      </c>
    </row>
    <row r="160" spans="1:12" x14ac:dyDescent="0.25">
      <c r="A160" s="98" t="s">
        <v>216</v>
      </c>
      <c r="B160" s="132" t="s">
        <v>9</v>
      </c>
      <c r="C160" s="139">
        <v>81865</v>
      </c>
      <c r="D160" s="133" t="str">
        <f>'MEMÓRIA DE CÁLCULO'!B298</f>
        <v>FOSSA SEPTICA 1500 LITROS COM IMPERMEABILIZAÇÃO</v>
      </c>
      <c r="E160" s="134">
        <f>'MEMÓRIA DE CÁLCULO'!D298</f>
        <v>1</v>
      </c>
      <c r="F160" s="132" t="s">
        <v>378</v>
      </c>
      <c r="G160" s="138"/>
      <c r="H160" s="138"/>
      <c r="I160" s="102">
        <f t="shared" si="11"/>
        <v>0</v>
      </c>
      <c r="J160" s="280">
        <f t="shared" si="23"/>
        <v>0</v>
      </c>
      <c r="K160" s="280">
        <f t="shared" si="24"/>
        <v>0</v>
      </c>
      <c r="L160" s="280">
        <f t="shared" si="20"/>
        <v>0</v>
      </c>
    </row>
    <row r="161" spans="1:12" x14ac:dyDescent="0.25">
      <c r="A161" s="98" t="s">
        <v>217</v>
      </c>
      <c r="B161" s="132" t="s">
        <v>9</v>
      </c>
      <c r="C161" s="139">
        <v>81874</v>
      </c>
      <c r="D161" s="133" t="str">
        <f>'MEMÓRIA DE CÁLCULO'!B299</f>
        <v>SUMIDOURO COM DIÂMETRO=1,60M E  PROFUNDIDADE=4,50 M</v>
      </c>
      <c r="E161" s="134">
        <f>'MEMÓRIA DE CÁLCULO'!D299</f>
        <v>1</v>
      </c>
      <c r="F161" s="132" t="s">
        <v>378</v>
      </c>
      <c r="G161" s="138"/>
      <c r="H161" s="138"/>
      <c r="I161" s="102">
        <f t="shared" si="11"/>
        <v>0</v>
      </c>
      <c r="J161" s="280">
        <f t="shared" ref="J161:J164" si="25">G161*E161</f>
        <v>0</v>
      </c>
      <c r="K161" s="280">
        <f t="shared" ref="K161:K164" si="26">H161*E161</f>
        <v>0</v>
      </c>
      <c r="L161" s="280">
        <f t="shared" si="20"/>
        <v>0</v>
      </c>
    </row>
    <row r="162" spans="1:12" x14ac:dyDescent="0.25">
      <c r="A162" s="98" t="s">
        <v>218</v>
      </c>
      <c r="B162" s="132" t="s">
        <v>9</v>
      </c>
      <c r="C162" s="139">
        <v>81885</v>
      </c>
      <c r="D162" s="133" t="str">
        <f>'MEMÓRIA DE CÁLCULO'!B300</f>
        <v>TERMINAL DE VENTILACAO DIAMETRO 50 MM</v>
      </c>
      <c r="E162" s="134">
        <f>'MEMÓRIA DE CÁLCULO'!D300</f>
        <v>1</v>
      </c>
      <c r="F162" s="132" t="s">
        <v>378</v>
      </c>
      <c r="G162" s="138"/>
      <c r="H162" s="138"/>
      <c r="I162" s="102">
        <f t="shared" si="11"/>
        <v>0</v>
      </c>
      <c r="J162" s="280">
        <f t="shared" si="25"/>
        <v>0</v>
      </c>
      <c r="K162" s="280">
        <f t="shared" si="26"/>
        <v>0</v>
      </c>
      <c r="L162" s="280">
        <f t="shared" si="20"/>
        <v>0</v>
      </c>
    </row>
    <row r="163" spans="1:12" x14ac:dyDescent="0.25">
      <c r="A163" s="98" t="s">
        <v>219</v>
      </c>
      <c r="B163" s="132" t="s">
        <v>9</v>
      </c>
      <c r="C163" s="139">
        <v>81888</v>
      </c>
      <c r="D163" s="133" t="str">
        <f>'MEMÓRIA DE CÁLCULO'!B301</f>
        <v>TORNEIRA BOIA DIAMETRO (3/4") 20 MM</v>
      </c>
      <c r="E163" s="134">
        <f>'MEMÓRIA DE CÁLCULO'!D301</f>
        <v>1</v>
      </c>
      <c r="F163" s="132" t="s">
        <v>378</v>
      </c>
      <c r="G163" s="138"/>
      <c r="H163" s="138"/>
      <c r="I163" s="102">
        <f t="shared" ref="I163:I185" si="27">(G163+H163)*E163</f>
        <v>0</v>
      </c>
      <c r="J163" s="280">
        <f t="shared" si="25"/>
        <v>0</v>
      </c>
      <c r="K163" s="280">
        <f t="shared" si="26"/>
        <v>0</v>
      </c>
      <c r="L163" s="280">
        <f t="shared" si="20"/>
        <v>0</v>
      </c>
    </row>
    <row r="164" spans="1:12" x14ac:dyDescent="0.25">
      <c r="A164" s="98" t="s">
        <v>220</v>
      </c>
      <c r="B164" s="132" t="s">
        <v>9</v>
      </c>
      <c r="C164" s="137">
        <v>81920</v>
      </c>
      <c r="D164" s="133" t="str">
        <f>'MEMÓRIA DE CÁLCULO'!B302</f>
        <v>J O E L H O S</v>
      </c>
      <c r="E164" s="134"/>
      <c r="F164" s="142"/>
      <c r="G164" s="138"/>
      <c r="H164" s="138"/>
      <c r="I164" s="102"/>
      <c r="J164" s="280">
        <f t="shared" si="25"/>
        <v>0</v>
      </c>
      <c r="K164" s="280">
        <f t="shared" si="26"/>
        <v>0</v>
      </c>
      <c r="L164" s="280">
        <f t="shared" si="20"/>
        <v>0</v>
      </c>
    </row>
    <row r="165" spans="1:12" ht="15.75" customHeight="1" x14ac:dyDescent="0.25">
      <c r="A165" s="98" t="s">
        <v>221</v>
      </c>
      <c r="B165" s="132" t="s">
        <v>9</v>
      </c>
      <c r="C165" s="137">
        <v>81927</v>
      </c>
      <c r="D165" s="133" t="str">
        <f>'MEMÓRIA DE CÁLCULO'!B303</f>
        <v xml:space="preserve">JOELHO 90 GRAUS C/ANEL 40 mm </v>
      </c>
      <c r="E165" s="134">
        <f>'MEMÓRIA DE CÁLCULO'!D303</f>
        <v>2</v>
      </c>
      <c r="F165" s="132" t="s">
        <v>378</v>
      </c>
      <c r="G165" s="138"/>
      <c r="H165" s="138"/>
      <c r="I165" s="102">
        <f t="shared" si="27"/>
        <v>0</v>
      </c>
      <c r="J165" s="280">
        <f t="shared" si="23"/>
        <v>0</v>
      </c>
      <c r="K165" s="280">
        <f t="shared" si="24"/>
        <v>0</v>
      </c>
      <c r="L165" s="280">
        <f t="shared" si="20"/>
        <v>0</v>
      </c>
    </row>
    <row r="166" spans="1:12" x14ac:dyDescent="0.25">
      <c r="A166" s="98" t="s">
        <v>222</v>
      </c>
      <c r="B166" s="132" t="s">
        <v>9</v>
      </c>
      <c r="C166" s="137">
        <v>81935</v>
      </c>
      <c r="D166" s="133" t="str">
        <f>'MEMÓRIA DE CÁLCULO'!B304</f>
        <v xml:space="preserve">JOELHO 90 GRAUS DIAMETRO 40 MM </v>
      </c>
      <c r="E166" s="134">
        <f>'MEMÓRIA DE CÁLCULO'!D304</f>
        <v>4</v>
      </c>
      <c r="F166" s="132" t="s">
        <v>378</v>
      </c>
      <c r="G166" s="138"/>
      <c r="H166" s="138"/>
      <c r="I166" s="102">
        <f t="shared" si="27"/>
        <v>0</v>
      </c>
      <c r="J166" s="280">
        <f t="shared" si="23"/>
        <v>0</v>
      </c>
      <c r="K166" s="280">
        <f t="shared" si="24"/>
        <v>0</v>
      </c>
      <c r="L166" s="280">
        <f t="shared" si="20"/>
        <v>0</v>
      </c>
    </row>
    <row r="167" spans="1:12" x14ac:dyDescent="0.25">
      <c r="A167" s="98" t="s">
        <v>223</v>
      </c>
      <c r="B167" s="132" t="s">
        <v>9</v>
      </c>
      <c r="C167" s="137">
        <v>81936</v>
      </c>
      <c r="D167" s="133" t="str">
        <f>'MEMÓRIA DE CÁLCULO'!B305</f>
        <v xml:space="preserve">JOELHO 90 GRAUS DIAMETRO 50 MM </v>
      </c>
      <c r="E167" s="134">
        <f>'MEMÓRIA DE CÁLCULO'!D305</f>
        <v>2</v>
      </c>
      <c r="F167" s="132" t="s">
        <v>378</v>
      </c>
      <c r="G167" s="103"/>
      <c r="H167" s="103"/>
      <c r="I167" s="102">
        <f t="shared" si="27"/>
        <v>0</v>
      </c>
      <c r="J167" s="280">
        <f t="shared" si="23"/>
        <v>0</v>
      </c>
      <c r="K167" s="280">
        <f t="shared" si="24"/>
        <v>0</v>
      </c>
      <c r="L167" s="280">
        <f t="shared" si="20"/>
        <v>0</v>
      </c>
    </row>
    <row r="168" spans="1:12" x14ac:dyDescent="0.25">
      <c r="A168" s="98" t="s">
        <v>224</v>
      </c>
      <c r="B168" s="132" t="s">
        <v>9</v>
      </c>
      <c r="C168" s="137">
        <v>81937</v>
      </c>
      <c r="D168" s="133" t="str">
        <f>'MEMÓRIA DE CÁLCULO'!B306</f>
        <v xml:space="preserve">JOELHO 90 GRAUS DIAMETRO 75 MM </v>
      </c>
      <c r="E168" s="134">
        <f>'MEMÓRIA DE CÁLCULO'!D306</f>
        <v>2</v>
      </c>
      <c r="F168" s="132" t="s">
        <v>378</v>
      </c>
      <c r="G168" s="138"/>
      <c r="H168" s="138"/>
      <c r="I168" s="102">
        <f t="shared" si="27"/>
        <v>0</v>
      </c>
      <c r="J168" s="280">
        <f t="shared" si="23"/>
        <v>0</v>
      </c>
      <c r="K168" s="280">
        <f t="shared" si="24"/>
        <v>0</v>
      </c>
      <c r="L168" s="280">
        <f t="shared" si="20"/>
        <v>0</v>
      </c>
    </row>
    <row r="169" spans="1:12" x14ac:dyDescent="0.25">
      <c r="A169" s="98" t="s">
        <v>225</v>
      </c>
      <c r="B169" s="132" t="s">
        <v>9</v>
      </c>
      <c r="C169" s="137">
        <v>81924</v>
      </c>
      <c r="D169" s="133" t="str">
        <f>'MEMÓRIA DE CÁLCULO'!B307</f>
        <v>JOELHO 45 GRAUS DIAMETRO 100 MM</v>
      </c>
      <c r="E169" s="134">
        <f>'MEMÓRIA DE CÁLCULO'!D307</f>
        <v>2</v>
      </c>
      <c r="F169" s="132" t="s">
        <v>378</v>
      </c>
      <c r="G169" s="138"/>
      <c r="H169" s="138"/>
      <c r="I169" s="102">
        <f t="shared" si="27"/>
        <v>0</v>
      </c>
      <c r="J169" s="280">
        <f t="shared" si="23"/>
        <v>0</v>
      </c>
      <c r="K169" s="280">
        <f t="shared" si="24"/>
        <v>0</v>
      </c>
      <c r="L169" s="280">
        <f t="shared" si="20"/>
        <v>0</v>
      </c>
    </row>
    <row r="170" spans="1:12" x14ac:dyDescent="0.25">
      <c r="A170" s="98" t="s">
        <v>226</v>
      </c>
      <c r="B170" s="132" t="s">
        <v>9</v>
      </c>
      <c r="C170" s="143">
        <v>81921</v>
      </c>
      <c r="D170" s="133" t="str">
        <f>'MEMÓRIA DE CÁLCULO'!B308</f>
        <v>JOELHO 45 GRAUS DIAMETRO 40 MM</v>
      </c>
      <c r="E170" s="134">
        <v>6</v>
      </c>
      <c r="F170" s="132" t="s">
        <v>378</v>
      </c>
      <c r="G170" s="144"/>
      <c r="H170" s="144"/>
      <c r="I170" s="102">
        <f t="shared" si="27"/>
        <v>0</v>
      </c>
      <c r="J170" s="280">
        <f t="shared" si="23"/>
        <v>0</v>
      </c>
      <c r="K170" s="280">
        <f t="shared" si="24"/>
        <v>0</v>
      </c>
      <c r="L170" s="280">
        <f t="shared" si="20"/>
        <v>0</v>
      </c>
    </row>
    <row r="171" spans="1:12" x14ac:dyDescent="0.25">
      <c r="A171" s="98" t="s">
        <v>227</v>
      </c>
      <c r="B171" s="132" t="s">
        <v>9</v>
      </c>
      <c r="C171" s="143">
        <v>81922</v>
      </c>
      <c r="D171" s="133" t="str">
        <f>'MEMÓRIA DE CÁLCULO'!B309</f>
        <v>JOELHO 45 GRAUS DIAMETRO 50 MM</v>
      </c>
      <c r="E171" s="134">
        <v>3</v>
      </c>
      <c r="F171" s="132" t="s">
        <v>378</v>
      </c>
      <c r="G171" s="144"/>
      <c r="H171" s="144"/>
      <c r="I171" s="102">
        <f t="shared" si="27"/>
        <v>0</v>
      </c>
      <c r="J171" s="280">
        <f t="shared" si="23"/>
        <v>0</v>
      </c>
      <c r="K171" s="280">
        <f t="shared" si="24"/>
        <v>0</v>
      </c>
      <c r="L171" s="280">
        <f t="shared" si="20"/>
        <v>0</v>
      </c>
    </row>
    <row r="172" spans="1:12" x14ac:dyDescent="0.25">
      <c r="A172" s="98" t="s">
        <v>228</v>
      </c>
      <c r="B172" s="132" t="s">
        <v>9</v>
      </c>
      <c r="C172" s="137">
        <v>81960</v>
      </c>
      <c r="D172" s="133" t="str">
        <f>'MEMÓRIA DE CÁLCULO'!B310</f>
        <v>J U N C O E S</v>
      </c>
      <c r="E172" s="134"/>
      <c r="F172" s="142"/>
      <c r="G172" s="138"/>
      <c r="H172" s="138"/>
      <c r="I172" s="102"/>
      <c r="J172" s="280">
        <f t="shared" si="23"/>
        <v>0</v>
      </c>
      <c r="K172" s="280">
        <f t="shared" si="24"/>
        <v>0</v>
      </c>
      <c r="L172" s="280">
        <f t="shared" si="20"/>
        <v>0</v>
      </c>
    </row>
    <row r="173" spans="1:12" x14ac:dyDescent="0.25">
      <c r="A173" s="98" t="s">
        <v>229</v>
      </c>
      <c r="B173" s="132" t="s">
        <v>9</v>
      </c>
      <c r="C173" s="132">
        <v>81973</v>
      </c>
      <c r="D173" s="133" t="str">
        <f>'MEMÓRIA DE CÁLCULO'!B311</f>
        <v xml:space="preserve">JUNCAO SIMPLES DIAM. 100 X 50 MM </v>
      </c>
      <c r="E173" s="134">
        <f>'MEMÓRIA DE CÁLCULO'!D311</f>
        <v>2</v>
      </c>
      <c r="F173" s="132" t="s">
        <v>378</v>
      </c>
      <c r="G173" s="135"/>
      <c r="H173" s="135"/>
      <c r="I173" s="102">
        <f t="shared" si="27"/>
        <v>0</v>
      </c>
      <c r="J173" s="280">
        <f t="shared" si="23"/>
        <v>0</v>
      </c>
      <c r="K173" s="280">
        <f t="shared" si="24"/>
        <v>0</v>
      </c>
      <c r="L173" s="280">
        <f t="shared" si="20"/>
        <v>0</v>
      </c>
    </row>
    <row r="174" spans="1:12" x14ac:dyDescent="0.25">
      <c r="A174" s="98" t="s">
        <v>230</v>
      </c>
      <c r="B174" s="132" t="s">
        <v>9</v>
      </c>
      <c r="C174" s="137">
        <v>82000</v>
      </c>
      <c r="D174" s="133" t="str">
        <f>'MEMÓRIA DE CÁLCULO'!B312</f>
        <v>J U N C O E S</v>
      </c>
      <c r="E174" s="134"/>
      <c r="F174" s="142"/>
      <c r="G174" s="138"/>
      <c r="H174" s="138"/>
      <c r="I174" s="102"/>
      <c r="J174" s="280">
        <f t="shared" ref="J174:J176" si="28">G174*E174</f>
        <v>0</v>
      </c>
      <c r="K174" s="280">
        <f t="shared" ref="K174:K176" si="29">H174*E174</f>
        <v>0</v>
      </c>
      <c r="L174" s="280">
        <f t="shared" si="20"/>
        <v>0</v>
      </c>
    </row>
    <row r="175" spans="1:12" x14ac:dyDescent="0.25">
      <c r="A175" s="98" t="s">
        <v>231</v>
      </c>
      <c r="B175" s="132" t="s">
        <v>9</v>
      </c>
      <c r="C175" s="132">
        <v>82002</v>
      </c>
      <c r="D175" s="133" t="str">
        <f>'MEMÓRIA DE CÁLCULO'!B313</f>
        <v>LUVA SIMPLES DIAMETRO 50 MM</v>
      </c>
      <c r="E175" s="134">
        <f>'MEMÓRIA DE CÁLCULO'!D313</f>
        <v>6</v>
      </c>
      <c r="F175" s="132" t="s">
        <v>378</v>
      </c>
      <c r="G175" s="144"/>
      <c r="H175" s="138"/>
      <c r="I175" s="102">
        <f t="shared" si="27"/>
        <v>0</v>
      </c>
      <c r="J175" s="280">
        <f t="shared" si="28"/>
        <v>0</v>
      </c>
      <c r="K175" s="280">
        <f t="shared" si="29"/>
        <v>0</v>
      </c>
      <c r="L175" s="280">
        <f t="shared" si="20"/>
        <v>0</v>
      </c>
    </row>
    <row r="176" spans="1:12" x14ac:dyDescent="0.25">
      <c r="A176" s="98" t="s">
        <v>232</v>
      </c>
      <c r="B176" s="132" t="s">
        <v>9</v>
      </c>
      <c r="C176" s="132">
        <v>82004</v>
      </c>
      <c r="D176" s="133" t="str">
        <f>'MEMÓRIA DE CÁLCULO'!B314</f>
        <v>LUVA SIMPLES DIAM. 100 MM</v>
      </c>
      <c r="E176" s="134">
        <f>'MEMÓRIA DE CÁLCULO'!D314</f>
        <v>4</v>
      </c>
      <c r="F176" s="132" t="s">
        <v>378</v>
      </c>
      <c r="G176" s="144"/>
      <c r="H176" s="138"/>
      <c r="I176" s="102">
        <f t="shared" si="27"/>
        <v>0</v>
      </c>
      <c r="J176" s="280">
        <f t="shared" si="28"/>
        <v>0</v>
      </c>
      <c r="K176" s="280">
        <f t="shared" si="29"/>
        <v>0</v>
      </c>
      <c r="L176" s="280">
        <f t="shared" si="20"/>
        <v>0</v>
      </c>
    </row>
    <row r="177" spans="1:12" x14ac:dyDescent="0.25">
      <c r="A177" s="98" t="s">
        <v>233</v>
      </c>
      <c r="B177" s="132" t="s">
        <v>9</v>
      </c>
      <c r="C177" s="139">
        <v>82200</v>
      </c>
      <c r="D177" s="133" t="str">
        <f>'MEMÓRIA DE CÁLCULO'!B315</f>
        <v>T E</v>
      </c>
      <c r="E177" s="134"/>
      <c r="F177" s="141"/>
      <c r="G177" s="138"/>
      <c r="H177" s="140"/>
      <c r="I177" s="102"/>
      <c r="J177" s="280">
        <f t="shared" si="23"/>
        <v>0</v>
      </c>
      <c r="K177" s="280">
        <f t="shared" si="24"/>
        <v>0</v>
      </c>
      <c r="L177" s="280">
        <f t="shared" si="20"/>
        <v>0</v>
      </c>
    </row>
    <row r="178" spans="1:12" x14ac:dyDescent="0.25">
      <c r="A178" s="98" t="s">
        <v>234</v>
      </c>
      <c r="B178" s="132" t="s">
        <v>9</v>
      </c>
      <c r="C178" s="132">
        <v>82230</v>
      </c>
      <c r="D178" s="133" t="str">
        <f>'MEMÓRIA DE CÁLCULO'!B316</f>
        <v xml:space="preserve">TE SANITARIO DIAMETRO 50 X 50 MM </v>
      </c>
      <c r="E178" s="134">
        <f>'MEMÓRIA DE CÁLCULO'!D316</f>
        <v>2</v>
      </c>
      <c r="F178" s="132" t="s">
        <v>378</v>
      </c>
      <c r="G178" s="135"/>
      <c r="H178" s="135"/>
      <c r="I178" s="102">
        <f t="shared" si="27"/>
        <v>0</v>
      </c>
      <c r="J178" s="280">
        <f t="shared" si="23"/>
        <v>0</v>
      </c>
      <c r="K178" s="280">
        <f t="shared" si="24"/>
        <v>0</v>
      </c>
      <c r="L178" s="280">
        <f t="shared" si="20"/>
        <v>0</v>
      </c>
    </row>
    <row r="179" spans="1:12" x14ac:dyDescent="0.25">
      <c r="A179" s="98" t="s">
        <v>235</v>
      </c>
      <c r="B179" s="132" t="s">
        <v>9</v>
      </c>
      <c r="C179" s="139">
        <v>82300</v>
      </c>
      <c r="D179" s="133" t="str">
        <f>'MEMÓRIA DE CÁLCULO'!B317</f>
        <v>T U B O S</v>
      </c>
      <c r="E179" s="134"/>
      <c r="F179" s="142"/>
      <c r="G179" s="138"/>
      <c r="H179" s="138"/>
      <c r="I179" s="102"/>
      <c r="J179" s="280">
        <f t="shared" si="23"/>
        <v>0</v>
      </c>
      <c r="K179" s="280">
        <f t="shared" si="24"/>
        <v>0</v>
      </c>
      <c r="L179" s="280">
        <f t="shared" si="20"/>
        <v>0</v>
      </c>
    </row>
    <row r="180" spans="1:12" x14ac:dyDescent="0.25">
      <c r="A180" s="98" t="s">
        <v>236</v>
      </c>
      <c r="B180" s="132" t="s">
        <v>9</v>
      </c>
      <c r="C180" s="132">
        <v>82301</v>
      </c>
      <c r="D180" s="133" t="str">
        <f>'MEMÓRIA DE CÁLCULO'!B318</f>
        <v xml:space="preserve">TUBO SOLD.P/ESGOTO DIAM. 40 MM </v>
      </c>
      <c r="E180" s="134">
        <v>12.5</v>
      </c>
      <c r="F180" s="132" t="s">
        <v>25</v>
      </c>
      <c r="G180" s="135"/>
      <c r="H180" s="135"/>
      <c r="I180" s="102">
        <f t="shared" si="27"/>
        <v>0</v>
      </c>
      <c r="J180" s="280">
        <f t="shared" si="23"/>
        <v>0</v>
      </c>
      <c r="K180" s="280">
        <f t="shared" si="24"/>
        <v>0</v>
      </c>
      <c r="L180" s="280">
        <f t="shared" si="20"/>
        <v>0</v>
      </c>
    </row>
    <row r="181" spans="1:12" x14ac:dyDescent="0.25">
      <c r="A181" s="98" t="s">
        <v>286</v>
      </c>
      <c r="B181" s="132" t="s">
        <v>9</v>
      </c>
      <c r="C181" s="139">
        <v>82302</v>
      </c>
      <c r="D181" s="133" t="str">
        <f>'MEMÓRIA DE CÁLCULO'!B319</f>
        <v xml:space="preserve"> TUBO SOLD. P/ESGOTO DIAM. 50 MM </v>
      </c>
      <c r="E181" s="134">
        <v>6.2</v>
      </c>
      <c r="F181" s="142" t="s">
        <v>130</v>
      </c>
      <c r="G181" s="138"/>
      <c r="H181" s="140"/>
      <c r="I181" s="102">
        <f t="shared" si="27"/>
        <v>0</v>
      </c>
      <c r="J181" s="280">
        <f t="shared" si="23"/>
        <v>0</v>
      </c>
      <c r="K181" s="280">
        <f t="shared" si="24"/>
        <v>0</v>
      </c>
      <c r="L181" s="280">
        <f t="shared" si="20"/>
        <v>0</v>
      </c>
    </row>
    <row r="182" spans="1:12" x14ac:dyDescent="0.25">
      <c r="A182" s="98" t="s">
        <v>287</v>
      </c>
      <c r="B182" s="132" t="s">
        <v>9</v>
      </c>
      <c r="C182" s="139">
        <v>82303</v>
      </c>
      <c r="D182" s="133" t="str">
        <f>'MEMÓRIA DE CÁLCULO'!B320</f>
        <v xml:space="preserve">TUBO SOLDAVEL P/ESGOTO DIAM.75 MM </v>
      </c>
      <c r="E182" s="134">
        <v>5.2</v>
      </c>
      <c r="F182" s="142" t="s">
        <v>130</v>
      </c>
      <c r="G182" s="138"/>
      <c r="H182" s="140"/>
      <c r="I182" s="102">
        <f t="shared" si="27"/>
        <v>0</v>
      </c>
      <c r="J182" s="280">
        <f t="shared" si="23"/>
        <v>0</v>
      </c>
      <c r="K182" s="280">
        <f t="shared" si="24"/>
        <v>0</v>
      </c>
      <c r="L182" s="280">
        <f t="shared" si="20"/>
        <v>0</v>
      </c>
    </row>
    <row r="183" spans="1:12" x14ac:dyDescent="0.25">
      <c r="A183" s="98" t="s">
        <v>288</v>
      </c>
      <c r="B183" s="132" t="s">
        <v>9</v>
      </c>
      <c r="C183" s="139">
        <v>82304</v>
      </c>
      <c r="D183" s="133" t="str">
        <f>'MEMÓRIA DE CÁLCULO'!B321</f>
        <v xml:space="preserve">TUBO SOLDAVEL P/ESGOTO DIAM. 100 MM </v>
      </c>
      <c r="E183" s="134">
        <v>107.6</v>
      </c>
      <c r="F183" s="142" t="s">
        <v>130</v>
      </c>
      <c r="G183" s="138"/>
      <c r="H183" s="138"/>
      <c r="I183" s="102">
        <f t="shared" si="27"/>
        <v>0</v>
      </c>
      <c r="J183" s="280">
        <f t="shared" si="23"/>
        <v>0</v>
      </c>
      <c r="K183" s="280">
        <f t="shared" si="24"/>
        <v>0</v>
      </c>
      <c r="L183" s="280">
        <f t="shared" si="20"/>
        <v>0</v>
      </c>
    </row>
    <row r="184" spans="1:12" x14ac:dyDescent="0.25">
      <c r="A184" s="98" t="s">
        <v>289</v>
      </c>
      <c r="B184" s="132" t="s">
        <v>9</v>
      </c>
      <c r="C184" s="139">
        <v>85000</v>
      </c>
      <c r="D184" s="133" t="str">
        <f>'MEMÓRIA DE CÁLCULO'!B322</f>
        <v>INCENDIOS</v>
      </c>
      <c r="E184" s="134"/>
      <c r="F184" s="142"/>
      <c r="G184" s="138"/>
      <c r="H184" s="140"/>
      <c r="I184" s="102"/>
      <c r="L184" s="280"/>
    </row>
    <row r="185" spans="1:12" ht="16.5" customHeight="1" thickBot="1" x14ac:dyDescent="0.3">
      <c r="A185" s="98" t="s">
        <v>290</v>
      </c>
      <c r="B185" s="132" t="s">
        <v>9</v>
      </c>
      <c r="C185" s="139">
        <v>85006</v>
      </c>
      <c r="D185" s="133" t="str">
        <f>'MEMÓRIA DE CÁLCULO'!B323</f>
        <v>EXTINTOR MULTI USO EM PO A B C (6 KG) - CAPACIDADE EXTINTORA 3A 20BC</v>
      </c>
      <c r="E185" s="134">
        <v>1</v>
      </c>
      <c r="F185" s="142" t="s">
        <v>378</v>
      </c>
      <c r="G185" s="138"/>
      <c r="H185" s="140"/>
      <c r="I185" s="102">
        <f t="shared" si="27"/>
        <v>0</v>
      </c>
      <c r="J185" s="280">
        <f t="shared" ref="J185:J223" si="30">G185*E185</f>
        <v>0</v>
      </c>
      <c r="K185" s="280">
        <f t="shared" ref="K185:K223" si="31">H185*E185</f>
        <v>0</v>
      </c>
      <c r="L185" s="280">
        <f t="shared" si="20"/>
        <v>0</v>
      </c>
    </row>
    <row r="186" spans="1:12" ht="16.5" thickBot="1" x14ac:dyDescent="0.3">
      <c r="A186" s="289" t="s">
        <v>439</v>
      </c>
      <c r="B186" s="290"/>
      <c r="C186" s="290"/>
      <c r="D186" s="290"/>
      <c r="E186" s="290"/>
      <c r="F186" s="290"/>
      <c r="G186" s="290"/>
      <c r="H186" s="290"/>
      <c r="I186" s="88">
        <f>ROUND(SUM(I98:I185),2)</f>
        <v>0</v>
      </c>
      <c r="J186" s="280">
        <f t="shared" si="30"/>
        <v>0</v>
      </c>
      <c r="K186" s="280">
        <f t="shared" si="31"/>
        <v>0</v>
      </c>
      <c r="L186" s="280">
        <f t="shared" si="20"/>
        <v>0</v>
      </c>
    </row>
    <row r="187" spans="1:12" ht="16.5" thickBot="1" x14ac:dyDescent="0.3">
      <c r="A187" s="69" t="s">
        <v>2</v>
      </c>
      <c r="B187" s="69" t="s">
        <v>429</v>
      </c>
      <c r="C187" s="69" t="s">
        <v>430</v>
      </c>
      <c r="D187" s="85" t="s">
        <v>3</v>
      </c>
      <c r="E187" s="69" t="s">
        <v>4</v>
      </c>
      <c r="F187" s="69" t="s">
        <v>5</v>
      </c>
      <c r="G187" s="69" t="s">
        <v>6</v>
      </c>
      <c r="H187" s="69" t="s">
        <v>7</v>
      </c>
      <c r="I187" s="79" t="s">
        <v>8</v>
      </c>
      <c r="L187" s="280">
        <f t="shared" si="20"/>
        <v>0</v>
      </c>
    </row>
    <row r="188" spans="1:12" x14ac:dyDescent="0.25">
      <c r="A188" s="119">
        <v>8</v>
      </c>
      <c r="B188" s="118" t="s">
        <v>9</v>
      </c>
      <c r="C188" s="118">
        <v>90000</v>
      </c>
      <c r="D188" s="292" t="s">
        <v>237</v>
      </c>
      <c r="E188" s="292"/>
      <c r="F188" s="292"/>
      <c r="G188" s="292"/>
      <c r="H188" s="292"/>
      <c r="I188" s="293"/>
      <c r="J188" s="280">
        <f t="shared" si="30"/>
        <v>0</v>
      </c>
      <c r="K188" s="280">
        <f t="shared" si="31"/>
        <v>0</v>
      </c>
      <c r="L188" s="280">
        <f t="shared" si="20"/>
        <v>0</v>
      </c>
    </row>
    <row r="189" spans="1:12" s="8" customFormat="1" x14ac:dyDescent="0.25">
      <c r="A189" s="120" t="s">
        <v>238</v>
      </c>
      <c r="B189" s="99" t="s">
        <v>9</v>
      </c>
      <c r="C189" s="99">
        <v>91012</v>
      </c>
      <c r="D189" s="100" t="s">
        <v>713</v>
      </c>
      <c r="E189" s="231">
        <f>'MEMÓRIA DE CÁLCULO'!D326</f>
        <v>12</v>
      </c>
      <c r="F189" s="99" t="s">
        <v>130</v>
      </c>
      <c r="G189" s="103"/>
      <c r="H189" s="103"/>
      <c r="I189" s="102">
        <f t="shared" ref="I189:I194" si="32">(H189+G189)*E189</f>
        <v>0</v>
      </c>
      <c r="J189" s="280">
        <f t="shared" si="30"/>
        <v>0</v>
      </c>
      <c r="K189" s="280">
        <f t="shared" si="31"/>
        <v>0</v>
      </c>
      <c r="L189" s="280">
        <f t="shared" si="20"/>
        <v>0</v>
      </c>
    </row>
    <row r="190" spans="1:12" s="8" customFormat="1" ht="32.25" customHeight="1" x14ac:dyDescent="0.25">
      <c r="A190" s="120" t="s">
        <v>154</v>
      </c>
      <c r="B190" s="99" t="s">
        <v>9</v>
      </c>
      <c r="C190" s="99">
        <v>91018</v>
      </c>
      <c r="D190" s="100" t="s">
        <v>714</v>
      </c>
      <c r="E190" s="231">
        <f>'MEMÓRIA DE CÁLCULO'!D327</f>
        <v>3</v>
      </c>
      <c r="F190" s="99" t="s">
        <v>378</v>
      </c>
      <c r="G190" s="103"/>
      <c r="H190" s="103"/>
      <c r="I190" s="102">
        <f t="shared" si="32"/>
        <v>0</v>
      </c>
      <c r="J190" s="280">
        <f t="shared" si="30"/>
        <v>0</v>
      </c>
      <c r="K190" s="280">
        <f t="shared" si="31"/>
        <v>0</v>
      </c>
      <c r="L190" s="280">
        <f t="shared" si="20"/>
        <v>0</v>
      </c>
    </row>
    <row r="191" spans="1:12" s="8" customFormat="1" ht="31.5" x14ac:dyDescent="0.25">
      <c r="A191" s="120" t="s">
        <v>239</v>
      </c>
      <c r="B191" s="99" t="s">
        <v>9</v>
      </c>
      <c r="C191" s="99">
        <v>91021</v>
      </c>
      <c r="D191" s="100" t="s">
        <v>716</v>
      </c>
      <c r="E191" s="231">
        <f>'MEMÓRIA DE CÁLCULO'!D328</f>
        <v>2</v>
      </c>
      <c r="F191" s="99" t="s">
        <v>378</v>
      </c>
      <c r="G191" s="103"/>
      <c r="H191" s="103"/>
      <c r="I191" s="102">
        <f t="shared" si="32"/>
        <v>0</v>
      </c>
      <c r="J191" s="280">
        <f t="shared" si="30"/>
        <v>0</v>
      </c>
      <c r="K191" s="280">
        <f t="shared" si="31"/>
        <v>0</v>
      </c>
      <c r="L191" s="280">
        <f t="shared" si="20"/>
        <v>0</v>
      </c>
    </row>
    <row r="192" spans="1:12" s="8" customFormat="1" ht="31.5" x14ac:dyDescent="0.25">
      <c r="A192" s="120" t="s">
        <v>240</v>
      </c>
      <c r="B192" s="99" t="s">
        <v>9</v>
      </c>
      <c r="C192" s="99">
        <v>91022</v>
      </c>
      <c r="D192" s="100" t="s">
        <v>715</v>
      </c>
      <c r="E192" s="231">
        <f>'MEMÓRIA DE CÁLCULO'!D329</f>
        <v>1</v>
      </c>
      <c r="F192" s="99" t="s">
        <v>378</v>
      </c>
      <c r="G192" s="103"/>
      <c r="H192" s="103"/>
      <c r="I192" s="102">
        <f t="shared" si="32"/>
        <v>0</v>
      </c>
      <c r="J192" s="280">
        <f t="shared" si="30"/>
        <v>0</v>
      </c>
      <c r="K192" s="280">
        <f t="shared" si="31"/>
        <v>0</v>
      </c>
      <c r="L192" s="280">
        <f t="shared" si="20"/>
        <v>0</v>
      </c>
    </row>
    <row r="193" spans="1:12" s="8" customFormat="1" ht="31.5" x14ac:dyDescent="0.25">
      <c r="A193" s="120" t="s">
        <v>241</v>
      </c>
      <c r="B193" s="99" t="s">
        <v>9</v>
      </c>
      <c r="C193" s="99">
        <v>91026</v>
      </c>
      <c r="D193" s="100" t="s">
        <v>717</v>
      </c>
      <c r="E193" s="231">
        <f>'MEMÓRIA DE CÁLCULO'!D330</f>
        <v>1</v>
      </c>
      <c r="F193" s="99" t="s">
        <v>378</v>
      </c>
      <c r="G193" s="103"/>
      <c r="H193" s="103"/>
      <c r="I193" s="102">
        <f t="shared" si="32"/>
        <v>0</v>
      </c>
      <c r="J193" s="280">
        <f t="shared" si="30"/>
        <v>0</v>
      </c>
      <c r="K193" s="280">
        <f t="shared" si="31"/>
        <v>0</v>
      </c>
      <c r="L193" s="280">
        <f t="shared" si="20"/>
        <v>0</v>
      </c>
    </row>
    <row r="194" spans="1:12" s="8" customFormat="1" ht="36" customHeight="1" thickBot="1" x14ac:dyDescent="0.3">
      <c r="A194" s="120" t="s">
        <v>242</v>
      </c>
      <c r="B194" s="99" t="s">
        <v>9</v>
      </c>
      <c r="C194" s="99">
        <v>91041</v>
      </c>
      <c r="D194" s="100" t="s">
        <v>718</v>
      </c>
      <c r="E194" s="231">
        <f>'MEMÓRIA DE CÁLCULO'!D331</f>
        <v>1</v>
      </c>
      <c r="F194" s="99" t="s">
        <v>378</v>
      </c>
      <c r="G194" s="103"/>
      <c r="H194" s="103"/>
      <c r="I194" s="102">
        <f t="shared" si="32"/>
        <v>0</v>
      </c>
      <c r="J194" s="280">
        <f t="shared" si="30"/>
        <v>0</v>
      </c>
      <c r="K194" s="280">
        <f t="shared" si="31"/>
        <v>0</v>
      </c>
      <c r="L194" s="280">
        <f t="shared" si="20"/>
        <v>0</v>
      </c>
    </row>
    <row r="195" spans="1:12" ht="16.5" thickBot="1" x14ac:dyDescent="0.3">
      <c r="A195" s="289" t="s">
        <v>439</v>
      </c>
      <c r="B195" s="290"/>
      <c r="C195" s="290"/>
      <c r="D195" s="290"/>
      <c r="E195" s="290"/>
      <c r="F195" s="290"/>
      <c r="G195" s="290"/>
      <c r="H195" s="290"/>
      <c r="I195" s="88">
        <f>ROUND(SUM(I189:I194),2)</f>
        <v>0</v>
      </c>
      <c r="J195" s="280">
        <f t="shared" si="30"/>
        <v>0</v>
      </c>
      <c r="K195" s="280">
        <f t="shared" si="31"/>
        <v>0</v>
      </c>
      <c r="L195" s="280">
        <f t="shared" si="20"/>
        <v>0</v>
      </c>
    </row>
    <row r="196" spans="1:12" ht="16.5" thickBot="1" x14ac:dyDescent="0.3">
      <c r="A196" s="69" t="s">
        <v>2</v>
      </c>
      <c r="B196" s="69" t="s">
        <v>429</v>
      </c>
      <c r="C196" s="69" t="s">
        <v>430</v>
      </c>
      <c r="D196" s="85" t="s">
        <v>3</v>
      </c>
      <c r="E196" s="69" t="s">
        <v>4</v>
      </c>
      <c r="F196" s="69" t="s">
        <v>5</v>
      </c>
      <c r="G196" s="69" t="s">
        <v>6</v>
      </c>
      <c r="H196" s="69" t="s">
        <v>7</v>
      </c>
      <c r="I196" s="79" t="s">
        <v>8</v>
      </c>
      <c r="L196" s="280">
        <f t="shared" si="20"/>
        <v>0</v>
      </c>
    </row>
    <row r="197" spans="1:12" x14ac:dyDescent="0.25">
      <c r="A197" s="119">
        <v>9</v>
      </c>
      <c r="B197" s="118" t="s">
        <v>9</v>
      </c>
      <c r="C197" s="118">
        <v>100000</v>
      </c>
      <c r="D197" s="292" t="s">
        <v>27</v>
      </c>
      <c r="E197" s="292"/>
      <c r="F197" s="292"/>
      <c r="G197" s="292"/>
      <c r="H197" s="292"/>
      <c r="I197" s="293"/>
      <c r="J197" s="280">
        <f t="shared" si="30"/>
        <v>0</v>
      </c>
      <c r="K197" s="280">
        <f t="shared" si="31"/>
        <v>0</v>
      </c>
      <c r="L197" s="280">
        <f t="shared" si="20"/>
        <v>0</v>
      </c>
    </row>
    <row r="198" spans="1:12" ht="32.25" thickBot="1" x14ac:dyDescent="0.3">
      <c r="A198" s="120" t="s">
        <v>243</v>
      </c>
      <c r="B198" s="99" t="s">
        <v>9</v>
      </c>
      <c r="C198" s="99">
        <v>100160</v>
      </c>
      <c r="D198" s="100" t="str">
        <f>'MEMÓRIA DE CÁLCULO'!B334</f>
        <v>ALVENARIA DE TIJOLO FURADO 1/2 VEZ 14X29X9 - 6 FUROS - ARG. (1CALH:4ARML+100KG DE CI/M3)</v>
      </c>
      <c r="E198" s="101">
        <f>'MEMÓRIA DE CÁLCULO'!D344</f>
        <v>407.41</v>
      </c>
      <c r="F198" s="99" t="s">
        <v>15</v>
      </c>
      <c r="G198" s="103"/>
      <c r="H198" s="103"/>
      <c r="I198" s="102">
        <f>(G198+H198)*E198</f>
        <v>0</v>
      </c>
      <c r="J198" s="280">
        <f t="shared" si="30"/>
        <v>0</v>
      </c>
      <c r="K198" s="280">
        <f t="shared" si="31"/>
        <v>0</v>
      </c>
      <c r="L198" s="280">
        <f t="shared" si="20"/>
        <v>0</v>
      </c>
    </row>
    <row r="199" spans="1:12" ht="16.5" thickBot="1" x14ac:dyDescent="0.3">
      <c r="A199" s="289" t="s">
        <v>439</v>
      </c>
      <c r="B199" s="290"/>
      <c r="C199" s="290"/>
      <c r="D199" s="290"/>
      <c r="E199" s="290"/>
      <c r="F199" s="290"/>
      <c r="G199" s="290"/>
      <c r="H199" s="290"/>
      <c r="I199" s="88">
        <f>I198</f>
        <v>0</v>
      </c>
      <c r="J199" s="280">
        <f t="shared" si="30"/>
        <v>0</v>
      </c>
      <c r="K199" s="280">
        <f t="shared" si="31"/>
        <v>0</v>
      </c>
      <c r="L199" s="280">
        <f t="shared" si="20"/>
        <v>0</v>
      </c>
    </row>
    <row r="200" spans="1:12" ht="16.5" thickBot="1" x14ac:dyDescent="0.3">
      <c r="A200" s="69" t="s">
        <v>2</v>
      </c>
      <c r="B200" s="69" t="s">
        <v>429</v>
      </c>
      <c r="C200" s="69" t="s">
        <v>430</v>
      </c>
      <c r="D200" s="85" t="s">
        <v>3</v>
      </c>
      <c r="E200" s="69" t="s">
        <v>4</v>
      </c>
      <c r="F200" s="69" t="s">
        <v>5</v>
      </c>
      <c r="G200" s="69" t="s">
        <v>6</v>
      </c>
      <c r="H200" s="69" t="s">
        <v>7</v>
      </c>
      <c r="I200" s="79" t="s">
        <v>8</v>
      </c>
      <c r="L200" s="280">
        <f t="shared" si="20"/>
        <v>0</v>
      </c>
    </row>
    <row r="201" spans="1:12" x14ac:dyDescent="0.25">
      <c r="A201" s="119">
        <v>10</v>
      </c>
      <c r="B201" s="118" t="s">
        <v>9</v>
      </c>
      <c r="C201" s="118">
        <v>120000</v>
      </c>
      <c r="D201" s="292" t="s">
        <v>28</v>
      </c>
      <c r="E201" s="292"/>
      <c r="F201" s="292"/>
      <c r="G201" s="292"/>
      <c r="H201" s="292"/>
      <c r="I201" s="293"/>
      <c r="J201" s="280">
        <f t="shared" si="30"/>
        <v>0</v>
      </c>
      <c r="K201" s="280">
        <f t="shared" si="31"/>
        <v>0</v>
      </c>
      <c r="L201" s="280">
        <f t="shared" si="20"/>
        <v>0</v>
      </c>
    </row>
    <row r="202" spans="1:12" x14ac:dyDescent="0.25">
      <c r="A202" s="120">
        <v>10.1</v>
      </c>
      <c r="B202" s="99" t="s">
        <v>9</v>
      </c>
      <c r="C202" s="99">
        <v>120902</v>
      </c>
      <c r="D202" s="100" t="s">
        <v>272</v>
      </c>
      <c r="E202" s="101">
        <f>'MEMÓRIA DE CÁLCULO'!D351</f>
        <v>95.933580000000021</v>
      </c>
      <c r="F202" s="99" t="s">
        <v>15</v>
      </c>
      <c r="G202" s="103"/>
      <c r="H202" s="103"/>
      <c r="I202" s="102">
        <f t="shared" ref="I202:I203" si="33">(H202+G202)*E202</f>
        <v>0</v>
      </c>
      <c r="J202" s="280">
        <f t="shared" si="30"/>
        <v>0</v>
      </c>
      <c r="K202" s="280">
        <f t="shared" si="31"/>
        <v>0</v>
      </c>
      <c r="L202" s="280">
        <f t="shared" si="20"/>
        <v>0</v>
      </c>
    </row>
    <row r="203" spans="1:12" ht="32.25" thickBot="1" x14ac:dyDescent="0.3">
      <c r="A203" s="127">
        <v>10.199999999999999</v>
      </c>
      <c r="B203" s="128" t="s">
        <v>9</v>
      </c>
      <c r="C203" s="128">
        <v>121001</v>
      </c>
      <c r="D203" s="129" t="s">
        <v>273</v>
      </c>
      <c r="E203" s="130">
        <f>'MEMÓRIA DE CÁLCULO'!D355</f>
        <v>6</v>
      </c>
      <c r="F203" s="128" t="s">
        <v>15</v>
      </c>
      <c r="G203" s="131"/>
      <c r="H203" s="131"/>
      <c r="I203" s="102">
        <f t="shared" si="33"/>
        <v>0</v>
      </c>
      <c r="J203" s="280">
        <f t="shared" si="30"/>
        <v>0</v>
      </c>
      <c r="K203" s="280">
        <f t="shared" si="31"/>
        <v>0</v>
      </c>
      <c r="L203" s="280">
        <f t="shared" si="20"/>
        <v>0</v>
      </c>
    </row>
    <row r="204" spans="1:12" ht="16.5" thickBot="1" x14ac:dyDescent="0.3">
      <c r="A204" s="289" t="s">
        <v>439</v>
      </c>
      <c r="B204" s="290"/>
      <c r="C204" s="290"/>
      <c r="D204" s="290"/>
      <c r="E204" s="290"/>
      <c r="F204" s="290"/>
      <c r="G204" s="290"/>
      <c r="H204" s="290"/>
      <c r="I204" s="88">
        <f>ROUND(SUM(I202:I203),2)</f>
        <v>0</v>
      </c>
      <c r="J204" s="280">
        <f t="shared" si="30"/>
        <v>0</v>
      </c>
      <c r="K204" s="280">
        <f t="shared" si="31"/>
        <v>0</v>
      </c>
      <c r="L204" s="280">
        <f t="shared" si="20"/>
        <v>0</v>
      </c>
    </row>
    <row r="205" spans="1:12" ht="16.5" customHeight="1" thickBot="1" x14ac:dyDescent="0.3">
      <c r="A205" s="63" t="s">
        <v>29</v>
      </c>
      <c r="B205" s="64"/>
      <c r="C205" s="64"/>
      <c r="D205" s="64"/>
      <c r="E205" s="64"/>
      <c r="F205" s="64"/>
      <c r="G205" s="64"/>
      <c r="H205" s="64"/>
      <c r="I205" s="89"/>
      <c r="J205" s="280">
        <f t="shared" si="30"/>
        <v>0</v>
      </c>
      <c r="K205" s="280">
        <f t="shared" si="31"/>
        <v>0</v>
      </c>
      <c r="L205" s="280">
        <f t="shared" si="20"/>
        <v>0</v>
      </c>
    </row>
    <row r="206" spans="1:12" ht="16.5" customHeight="1" x14ac:dyDescent="0.25">
      <c r="A206" s="41">
        <v>11</v>
      </c>
      <c r="B206" s="42" t="s">
        <v>9</v>
      </c>
      <c r="C206" s="42">
        <v>140000</v>
      </c>
      <c r="D206" s="65" t="s">
        <v>30</v>
      </c>
      <c r="E206" s="66"/>
      <c r="F206" s="66"/>
      <c r="G206" s="66"/>
      <c r="H206" s="66"/>
      <c r="I206" s="90"/>
      <c r="J206" s="280">
        <f t="shared" si="30"/>
        <v>0</v>
      </c>
      <c r="K206" s="280">
        <f t="shared" si="31"/>
        <v>0</v>
      </c>
      <c r="L206" s="280">
        <f t="shared" ref="L206:L269" si="34">K206+J206</f>
        <v>0</v>
      </c>
    </row>
    <row r="207" spans="1:12" ht="32.25" thickBot="1" x14ac:dyDescent="0.3">
      <c r="A207" s="120" t="s">
        <v>280</v>
      </c>
      <c r="B207" s="99" t="s">
        <v>9</v>
      </c>
      <c r="C207" s="99">
        <v>140200</v>
      </c>
      <c r="D207" s="100" t="str">
        <f>'MEMÓRIA DE CÁLCULO'!B358</f>
        <v>EST.MAD.TELHA FIBROCIM. COM APOIOS EM LAJES/VIGAS OU PAREDES(SOMENTE TERÇAS) C/FERRAGENS</v>
      </c>
      <c r="E207" s="101">
        <f>'MEMÓRIA DE CÁLCULO'!D359</f>
        <v>0.6</v>
      </c>
      <c r="F207" s="99" t="s">
        <v>15</v>
      </c>
      <c r="G207" s="103"/>
      <c r="H207" s="103"/>
      <c r="I207" s="102">
        <f>(G207+H207)*E207</f>
        <v>0</v>
      </c>
      <c r="J207" s="280">
        <f t="shared" si="30"/>
        <v>0</v>
      </c>
      <c r="K207" s="280">
        <f t="shared" si="31"/>
        <v>0</v>
      </c>
      <c r="L207" s="280">
        <f t="shared" si="34"/>
        <v>0</v>
      </c>
    </row>
    <row r="208" spans="1:12" ht="16.5" thickBot="1" x14ac:dyDescent="0.3">
      <c r="A208" s="289" t="s">
        <v>439</v>
      </c>
      <c r="B208" s="290"/>
      <c r="C208" s="290"/>
      <c r="D208" s="290"/>
      <c r="E208" s="290"/>
      <c r="F208" s="290"/>
      <c r="G208" s="290"/>
      <c r="H208" s="290"/>
      <c r="I208" s="88">
        <f>ROUND(SUM(I206:I207),2)</f>
        <v>0</v>
      </c>
      <c r="J208" s="280">
        <f t="shared" ref="J208:J210" si="35">G208*E208</f>
        <v>0</v>
      </c>
      <c r="K208" s="280">
        <f t="shared" ref="K208:K212" si="36">H208*E208</f>
        <v>0</v>
      </c>
      <c r="L208" s="280">
        <f t="shared" si="34"/>
        <v>0</v>
      </c>
    </row>
    <row r="209" spans="1:12" ht="16.5" thickBot="1" x14ac:dyDescent="0.3">
      <c r="A209" s="69" t="s">
        <v>2</v>
      </c>
      <c r="B209" s="69" t="s">
        <v>429</v>
      </c>
      <c r="C209" s="69" t="s">
        <v>430</v>
      </c>
      <c r="D209" s="85" t="s">
        <v>3</v>
      </c>
      <c r="E209" s="69" t="s">
        <v>4</v>
      </c>
      <c r="F209" s="69" t="s">
        <v>5</v>
      </c>
      <c r="G209" s="69" t="s">
        <v>6</v>
      </c>
      <c r="H209" s="69" t="s">
        <v>7</v>
      </c>
      <c r="I209" s="79" t="s">
        <v>8</v>
      </c>
      <c r="L209" s="280">
        <f t="shared" si="34"/>
        <v>0</v>
      </c>
    </row>
    <row r="210" spans="1:12" x14ac:dyDescent="0.25">
      <c r="A210" s="119">
        <v>12</v>
      </c>
      <c r="B210" s="118" t="s">
        <v>9</v>
      </c>
      <c r="C210" s="118">
        <v>150000</v>
      </c>
      <c r="D210" s="292" t="s">
        <v>31</v>
      </c>
      <c r="E210" s="292"/>
      <c r="F210" s="292"/>
      <c r="G210" s="292"/>
      <c r="H210" s="292"/>
      <c r="I210" s="293"/>
      <c r="J210" s="280">
        <f t="shared" si="35"/>
        <v>0</v>
      </c>
      <c r="K210" s="280">
        <f t="shared" si="36"/>
        <v>0</v>
      </c>
      <c r="L210" s="280">
        <f t="shared" si="34"/>
        <v>0</v>
      </c>
    </row>
    <row r="211" spans="1:12" ht="47.25" x14ac:dyDescent="0.25">
      <c r="A211" s="120" t="s">
        <v>285</v>
      </c>
      <c r="B211" s="99" t="s">
        <v>45</v>
      </c>
      <c r="C211" s="99">
        <v>92580</v>
      </c>
      <c r="D211" s="100" t="s">
        <v>367</v>
      </c>
      <c r="E211" s="101">
        <f>'MEMÓRIA DE CÁLCULO'!D365</f>
        <v>253.79999999999998</v>
      </c>
      <c r="F211" s="99" t="s">
        <v>254</v>
      </c>
      <c r="G211" s="233"/>
      <c r="H211" s="266"/>
      <c r="I211" s="267">
        <f>(H211+G211)*E211</f>
        <v>0</v>
      </c>
      <c r="J211" s="280">
        <f>G211*E211</f>
        <v>0</v>
      </c>
      <c r="K211" s="280">
        <f t="shared" si="36"/>
        <v>0</v>
      </c>
      <c r="L211" s="280">
        <f t="shared" si="34"/>
        <v>0</v>
      </c>
    </row>
    <row r="212" spans="1:12" ht="48" thickBot="1" x14ac:dyDescent="0.3">
      <c r="A212" s="127" t="s">
        <v>368</v>
      </c>
      <c r="B212" s="128" t="s">
        <v>45</v>
      </c>
      <c r="C212" s="128">
        <v>92620</v>
      </c>
      <c r="D212" s="129" t="s">
        <v>369</v>
      </c>
      <c r="E212" s="130">
        <f>'MEMÓRIA DE CÁLCULO'!D368</f>
        <v>6</v>
      </c>
      <c r="F212" s="128" t="s">
        <v>378</v>
      </c>
      <c r="G212" s="234"/>
      <c r="H212" s="268"/>
      <c r="I212" s="269">
        <f>(H212+G212)*E212</f>
        <v>0</v>
      </c>
      <c r="J212" s="280">
        <f>G212*E212</f>
        <v>0</v>
      </c>
      <c r="K212" s="280">
        <f t="shared" si="36"/>
        <v>0</v>
      </c>
      <c r="L212" s="280">
        <f t="shared" si="34"/>
        <v>0</v>
      </c>
    </row>
    <row r="213" spans="1:12" ht="16.5" thickBot="1" x14ac:dyDescent="0.3">
      <c r="A213" s="289" t="s">
        <v>439</v>
      </c>
      <c r="B213" s="290"/>
      <c r="C213" s="290"/>
      <c r="D213" s="290"/>
      <c r="E213" s="290"/>
      <c r="F213" s="290"/>
      <c r="G213" s="290"/>
      <c r="H213" s="290"/>
      <c r="I213" s="88">
        <f>ROUND(SUM(I211:I212),2)</f>
        <v>0</v>
      </c>
      <c r="L213" s="280">
        <f t="shared" si="34"/>
        <v>0</v>
      </c>
    </row>
    <row r="214" spans="1:12" ht="16.5" thickBot="1" x14ac:dyDescent="0.3">
      <c r="A214" s="69" t="s">
        <v>2</v>
      </c>
      <c r="B214" s="69" t="s">
        <v>429</v>
      </c>
      <c r="C214" s="69" t="s">
        <v>430</v>
      </c>
      <c r="D214" s="85" t="s">
        <v>3</v>
      </c>
      <c r="E214" s="69" t="s">
        <v>4</v>
      </c>
      <c r="F214" s="69" t="s">
        <v>5</v>
      </c>
      <c r="G214" s="69" t="s">
        <v>6</v>
      </c>
      <c r="H214" s="69" t="s">
        <v>7</v>
      </c>
      <c r="I214" s="79" t="s">
        <v>8</v>
      </c>
      <c r="L214" s="280">
        <f t="shared" si="34"/>
        <v>0</v>
      </c>
    </row>
    <row r="215" spans="1:12" x14ac:dyDescent="0.25">
      <c r="A215" s="119">
        <v>13</v>
      </c>
      <c r="B215" s="118" t="s">
        <v>9</v>
      </c>
      <c r="C215" s="118">
        <v>160000</v>
      </c>
      <c r="D215" s="292" t="s">
        <v>32</v>
      </c>
      <c r="E215" s="292"/>
      <c r="F215" s="292"/>
      <c r="G215" s="292"/>
      <c r="H215" s="292"/>
      <c r="I215" s="293"/>
      <c r="J215" s="280">
        <f t="shared" si="30"/>
        <v>0</v>
      </c>
      <c r="K215" s="280">
        <f t="shared" si="31"/>
        <v>0</v>
      </c>
      <c r="L215" s="280">
        <f t="shared" si="34"/>
        <v>0</v>
      </c>
    </row>
    <row r="216" spans="1:12" ht="31.5" x14ac:dyDescent="0.25">
      <c r="A216" s="120" t="s">
        <v>283</v>
      </c>
      <c r="B216" s="99" t="s">
        <v>9</v>
      </c>
      <c r="C216" s="99">
        <v>160969</v>
      </c>
      <c r="D216" s="100" t="str">
        <f>'MEMÓRIA DE CÁLCULO'!B371</f>
        <v>COBERTURA COM TELHA CHAPA GALVANIZADA TRAPEZOIDAL 0,43 MM COM ACESSÓRIOS</v>
      </c>
      <c r="E216" s="101">
        <f>'MEMÓRIA DE CÁLCULO'!D374</f>
        <v>253.79999999999998</v>
      </c>
      <c r="F216" s="99" t="s">
        <v>12</v>
      </c>
      <c r="G216" s="103"/>
      <c r="H216" s="103"/>
      <c r="I216" s="102">
        <f>(G216+H216)*E216</f>
        <v>0</v>
      </c>
      <c r="J216" s="280">
        <f>G216*E216</f>
        <v>0</v>
      </c>
      <c r="K216" s="280">
        <f>H216*E216</f>
        <v>0</v>
      </c>
      <c r="L216" s="280">
        <f t="shared" si="34"/>
        <v>0</v>
      </c>
    </row>
    <row r="217" spans="1:12" ht="15.75" customHeight="1" x14ac:dyDescent="0.25">
      <c r="A217" s="120" t="s">
        <v>722</v>
      </c>
      <c r="B217" s="99" t="s">
        <v>9</v>
      </c>
      <c r="C217" s="99">
        <v>160963</v>
      </c>
      <c r="D217" s="100" t="str">
        <f>'MEMÓRIA DE CÁLCULO'!B375</f>
        <v>CUMEEIRA PARA TELHA GALVANIZADA TRAPEZOIDAL 0,43MM</v>
      </c>
      <c r="E217" s="101">
        <f>'MEMÓRIA DE CÁLCULO'!D377</f>
        <v>21.15</v>
      </c>
      <c r="F217" s="99" t="s">
        <v>130</v>
      </c>
      <c r="G217" s="103"/>
      <c r="H217" s="103"/>
      <c r="I217" s="102">
        <f t="shared" ref="I217:I219" si="37">(G217+H217)*E217</f>
        <v>0</v>
      </c>
      <c r="J217" s="280">
        <f>G217*E217</f>
        <v>0</v>
      </c>
      <c r="K217" s="280">
        <f>H217*E217</f>
        <v>0</v>
      </c>
      <c r="L217" s="280">
        <f t="shared" si="34"/>
        <v>0</v>
      </c>
    </row>
    <row r="218" spans="1:12" x14ac:dyDescent="0.25">
      <c r="A218" s="120" t="s">
        <v>723</v>
      </c>
      <c r="B218" s="99" t="s">
        <v>9</v>
      </c>
      <c r="C218" s="99">
        <v>160600</v>
      </c>
      <c r="D218" s="100" t="s">
        <v>281</v>
      </c>
      <c r="E218" s="101">
        <f>'MEMÓRIA DE CÁLCULO'!D383</f>
        <v>46.436999999999998</v>
      </c>
      <c r="F218" s="99" t="s">
        <v>254</v>
      </c>
      <c r="G218" s="103"/>
      <c r="H218" s="103"/>
      <c r="I218" s="102">
        <f t="shared" si="37"/>
        <v>0</v>
      </c>
      <c r="J218" s="280">
        <f t="shared" si="30"/>
        <v>0</v>
      </c>
      <c r="K218" s="280">
        <f t="shared" si="31"/>
        <v>0</v>
      </c>
      <c r="L218" s="280">
        <f t="shared" si="34"/>
        <v>0</v>
      </c>
    </row>
    <row r="219" spans="1:12" ht="16.5" thickBot="1" x14ac:dyDescent="0.3">
      <c r="A219" s="120" t="s">
        <v>284</v>
      </c>
      <c r="B219" s="128" t="s">
        <v>9</v>
      </c>
      <c r="C219" s="128">
        <v>160602</v>
      </c>
      <c r="D219" s="129" t="s">
        <v>282</v>
      </c>
      <c r="E219" s="130">
        <f>'MEMÓRIA DE CÁLCULO'!D387</f>
        <v>24</v>
      </c>
      <c r="F219" s="128" t="s">
        <v>25</v>
      </c>
      <c r="G219" s="131"/>
      <c r="H219" s="131"/>
      <c r="I219" s="102">
        <f t="shared" si="37"/>
        <v>0</v>
      </c>
      <c r="J219" s="280">
        <f t="shared" si="30"/>
        <v>0</v>
      </c>
      <c r="K219" s="280">
        <f t="shared" si="31"/>
        <v>0</v>
      </c>
      <c r="L219" s="280">
        <f t="shared" si="34"/>
        <v>0</v>
      </c>
    </row>
    <row r="220" spans="1:12" ht="16.5" thickBot="1" x14ac:dyDescent="0.3">
      <c r="A220" s="289" t="s">
        <v>439</v>
      </c>
      <c r="B220" s="290"/>
      <c r="C220" s="290"/>
      <c r="D220" s="290"/>
      <c r="E220" s="290"/>
      <c r="F220" s="290"/>
      <c r="G220" s="290"/>
      <c r="H220" s="290"/>
      <c r="I220" s="88">
        <f>ROUND(SUM(I216:I219),2)</f>
        <v>0</v>
      </c>
      <c r="J220" s="280">
        <f t="shared" si="30"/>
        <v>0</v>
      </c>
      <c r="K220" s="280">
        <f t="shared" si="31"/>
        <v>0</v>
      </c>
      <c r="L220" s="280">
        <f t="shared" si="34"/>
        <v>0</v>
      </c>
    </row>
    <row r="221" spans="1:12" ht="16.5" thickBot="1" x14ac:dyDescent="0.3">
      <c r="A221" s="69" t="s">
        <v>2</v>
      </c>
      <c r="B221" s="69" t="s">
        <v>429</v>
      </c>
      <c r="C221" s="69" t="s">
        <v>430</v>
      </c>
      <c r="D221" s="85" t="s">
        <v>3</v>
      </c>
      <c r="E221" s="69" t="s">
        <v>4</v>
      </c>
      <c r="F221" s="69" t="s">
        <v>5</v>
      </c>
      <c r="G221" s="69" t="s">
        <v>6</v>
      </c>
      <c r="H221" s="69" t="s">
        <v>7</v>
      </c>
      <c r="I221" s="79" t="s">
        <v>8</v>
      </c>
      <c r="L221" s="280">
        <f t="shared" si="34"/>
        <v>0</v>
      </c>
    </row>
    <row r="222" spans="1:12" x14ac:dyDescent="0.25">
      <c r="A222" s="119">
        <v>14</v>
      </c>
      <c r="B222" s="118" t="s">
        <v>9</v>
      </c>
      <c r="C222" s="118">
        <v>170000</v>
      </c>
      <c r="D222" s="292" t="s">
        <v>33</v>
      </c>
      <c r="E222" s="292"/>
      <c r="F222" s="292"/>
      <c r="G222" s="292"/>
      <c r="H222" s="292"/>
      <c r="I222" s="293"/>
      <c r="J222" s="280">
        <f t="shared" si="30"/>
        <v>0</v>
      </c>
      <c r="K222" s="280">
        <f t="shared" si="31"/>
        <v>0</v>
      </c>
      <c r="L222" s="280">
        <f t="shared" si="34"/>
        <v>0</v>
      </c>
    </row>
    <row r="223" spans="1:12" ht="16.5" thickBot="1" x14ac:dyDescent="0.3">
      <c r="A223" s="127" t="s">
        <v>299</v>
      </c>
      <c r="B223" s="128" t="s">
        <v>9</v>
      </c>
      <c r="C223" s="128">
        <v>170103</v>
      </c>
      <c r="D223" s="129" t="s">
        <v>298</v>
      </c>
      <c r="E223" s="130">
        <f>'MEMÓRIA DE CÁLCULO'!D395</f>
        <v>4</v>
      </c>
      <c r="F223" s="128" t="s">
        <v>378</v>
      </c>
      <c r="G223" s="131"/>
      <c r="H223" s="131"/>
      <c r="I223" s="125">
        <f>(G223+H223)*E223</f>
        <v>0</v>
      </c>
      <c r="J223" s="280">
        <f t="shared" si="30"/>
        <v>0</v>
      </c>
      <c r="K223" s="280">
        <f t="shared" si="31"/>
        <v>0</v>
      </c>
      <c r="L223" s="280">
        <f t="shared" si="34"/>
        <v>0</v>
      </c>
    </row>
    <row r="224" spans="1:12" ht="16.5" thickBot="1" x14ac:dyDescent="0.3">
      <c r="A224" s="289" t="s">
        <v>439</v>
      </c>
      <c r="B224" s="290"/>
      <c r="C224" s="290"/>
      <c r="D224" s="290"/>
      <c r="E224" s="290"/>
      <c r="F224" s="290"/>
      <c r="G224" s="290"/>
      <c r="H224" s="290"/>
      <c r="I224" s="88">
        <f>I223</f>
        <v>0</v>
      </c>
      <c r="J224" s="280">
        <f t="shared" ref="J224:J286" si="38">G224*E224</f>
        <v>0</v>
      </c>
      <c r="K224" s="280">
        <f t="shared" ref="K224:K286" si="39">H224*E224</f>
        <v>0</v>
      </c>
      <c r="L224" s="280">
        <f t="shared" si="34"/>
        <v>0</v>
      </c>
    </row>
    <row r="225" spans="1:12" ht="16.5" thickBot="1" x14ac:dyDescent="0.3">
      <c r="A225" s="69" t="s">
        <v>2</v>
      </c>
      <c r="B225" s="69" t="s">
        <v>429</v>
      </c>
      <c r="C225" s="69" t="s">
        <v>430</v>
      </c>
      <c r="D225" s="85" t="s">
        <v>3</v>
      </c>
      <c r="E225" s="69" t="s">
        <v>4</v>
      </c>
      <c r="F225" s="69" t="s">
        <v>5</v>
      </c>
      <c r="G225" s="69" t="s">
        <v>6</v>
      </c>
      <c r="H225" s="69" t="s">
        <v>7</v>
      </c>
      <c r="I225" s="79" t="s">
        <v>8</v>
      </c>
      <c r="L225" s="280">
        <f t="shared" si="34"/>
        <v>0</v>
      </c>
    </row>
    <row r="226" spans="1:12" x14ac:dyDescent="0.25">
      <c r="A226" s="119">
        <v>15</v>
      </c>
      <c r="B226" s="118" t="s">
        <v>9</v>
      </c>
      <c r="C226" s="118">
        <v>180000</v>
      </c>
      <c r="D226" s="292" t="s">
        <v>34</v>
      </c>
      <c r="E226" s="292"/>
      <c r="F226" s="292"/>
      <c r="G226" s="292"/>
      <c r="H226" s="292"/>
      <c r="I226" s="293"/>
      <c r="J226" s="280">
        <f t="shared" si="38"/>
        <v>0</v>
      </c>
      <c r="K226" s="280">
        <f t="shared" si="39"/>
        <v>0</v>
      </c>
      <c r="L226" s="280">
        <f t="shared" si="34"/>
        <v>0</v>
      </c>
    </row>
    <row r="227" spans="1:12" x14ac:dyDescent="0.25">
      <c r="A227" s="120" t="s">
        <v>300</v>
      </c>
      <c r="B227" s="99" t="s">
        <v>9</v>
      </c>
      <c r="C227" s="99">
        <v>180307</v>
      </c>
      <c r="D227" s="100" t="str">
        <f>'MEMÓRIA DE CÁLCULO'!B398</f>
        <v>PORTAO /CHAPA TRAPEZ / TUBO DE ACO PT-5 C/FERRAGEM</v>
      </c>
      <c r="E227" s="101">
        <f>'MEMÓRIA DE CÁLCULO'!D401</f>
        <v>8.1900000000000013</v>
      </c>
      <c r="F227" s="99" t="s">
        <v>254</v>
      </c>
      <c r="G227" s="103"/>
      <c r="H227" s="103"/>
      <c r="I227" s="102">
        <f>(G227+H227)*E227</f>
        <v>0</v>
      </c>
      <c r="J227" s="280">
        <f t="shared" si="38"/>
        <v>0</v>
      </c>
      <c r="K227" s="280">
        <f t="shared" si="39"/>
        <v>0</v>
      </c>
      <c r="L227" s="280">
        <f t="shared" si="34"/>
        <v>0</v>
      </c>
    </row>
    <row r="228" spans="1:12" x14ac:dyDescent="0.25">
      <c r="A228" s="120">
        <v>15.2</v>
      </c>
      <c r="B228" s="99" t="s">
        <v>9</v>
      </c>
      <c r="C228" s="99">
        <v>180381</v>
      </c>
      <c r="D228" s="100" t="str">
        <f>'MEMÓRIA DE CÁLCULO'!B402</f>
        <v>ESQ. MAXIMO AR CHAPA/VIDRO J3/J5/J6/J8 C/FERRAGENS</v>
      </c>
      <c r="E228" s="101">
        <f>'MEMÓRIA DE CÁLCULO'!D409</f>
        <v>16.399999999999999</v>
      </c>
      <c r="F228" s="99" t="s">
        <v>254</v>
      </c>
      <c r="G228" s="103"/>
      <c r="H228" s="103"/>
      <c r="I228" s="102">
        <f t="shared" ref="I228:I229" si="40">(G228+H228)*E228</f>
        <v>0</v>
      </c>
      <c r="J228" s="280">
        <f t="shared" si="38"/>
        <v>0</v>
      </c>
      <c r="K228" s="280">
        <f t="shared" si="39"/>
        <v>0</v>
      </c>
      <c r="L228" s="280">
        <f t="shared" si="34"/>
        <v>0</v>
      </c>
    </row>
    <row r="229" spans="1:12" ht="15.75" customHeight="1" thickBot="1" x14ac:dyDescent="0.3">
      <c r="A229" s="120">
        <v>15.3</v>
      </c>
      <c r="B229" s="99" t="s">
        <v>9</v>
      </c>
      <c r="C229" s="99">
        <v>180280</v>
      </c>
      <c r="D229" s="100" t="str">
        <f>'MEMÓRIA DE CÁLCULO'!B410</f>
        <v>PORTAO TELA/TUBO FoGo PT1/PT2 C/FERRAGENS</v>
      </c>
      <c r="E229" s="101">
        <f>'MEMÓRIA DE CÁLCULO'!D413</f>
        <v>6</v>
      </c>
      <c r="F229" s="99" t="s">
        <v>254</v>
      </c>
      <c r="G229" s="103"/>
      <c r="H229" s="103"/>
      <c r="I229" s="102">
        <f t="shared" si="40"/>
        <v>0</v>
      </c>
      <c r="J229" s="280">
        <f t="shared" si="38"/>
        <v>0</v>
      </c>
      <c r="K229" s="280">
        <f t="shared" si="39"/>
        <v>0</v>
      </c>
      <c r="L229" s="280">
        <f t="shared" si="34"/>
        <v>0</v>
      </c>
    </row>
    <row r="230" spans="1:12" ht="16.5" thickBot="1" x14ac:dyDescent="0.3">
      <c r="A230" s="289" t="s">
        <v>439</v>
      </c>
      <c r="B230" s="290"/>
      <c r="C230" s="290"/>
      <c r="D230" s="290"/>
      <c r="E230" s="290"/>
      <c r="F230" s="290"/>
      <c r="G230" s="290"/>
      <c r="H230" s="290"/>
      <c r="I230" s="88">
        <f>ROUND(SUM(I227:I229),2)</f>
        <v>0</v>
      </c>
      <c r="J230" s="280">
        <f t="shared" si="38"/>
        <v>0</v>
      </c>
      <c r="K230" s="280">
        <f t="shared" si="39"/>
        <v>0</v>
      </c>
      <c r="L230" s="280">
        <f t="shared" si="34"/>
        <v>0</v>
      </c>
    </row>
    <row r="231" spans="1:12" ht="16.5" thickBot="1" x14ac:dyDescent="0.3">
      <c r="A231" s="69" t="s">
        <v>2</v>
      </c>
      <c r="B231" s="69" t="s">
        <v>429</v>
      </c>
      <c r="C231" s="69" t="s">
        <v>430</v>
      </c>
      <c r="D231" s="85" t="s">
        <v>3</v>
      </c>
      <c r="E231" s="69" t="s">
        <v>4</v>
      </c>
      <c r="F231" s="69" t="s">
        <v>5</v>
      </c>
      <c r="G231" s="69" t="s">
        <v>6</v>
      </c>
      <c r="H231" s="69" t="s">
        <v>7</v>
      </c>
      <c r="I231" s="79" t="s">
        <v>8</v>
      </c>
      <c r="L231" s="280">
        <f t="shared" si="34"/>
        <v>0</v>
      </c>
    </row>
    <row r="232" spans="1:12" x14ac:dyDescent="0.25">
      <c r="A232" s="119">
        <v>16</v>
      </c>
      <c r="B232" s="118" t="s">
        <v>9</v>
      </c>
      <c r="C232" s="118">
        <v>190000</v>
      </c>
      <c r="D232" s="292" t="s">
        <v>35</v>
      </c>
      <c r="E232" s="292"/>
      <c r="F232" s="292"/>
      <c r="G232" s="292"/>
      <c r="H232" s="292"/>
      <c r="I232" s="293"/>
      <c r="J232" s="280">
        <f t="shared" si="38"/>
        <v>0</v>
      </c>
      <c r="K232" s="280">
        <f t="shared" si="39"/>
        <v>0</v>
      </c>
      <c r="L232" s="280">
        <f t="shared" si="34"/>
        <v>0</v>
      </c>
    </row>
    <row r="233" spans="1:12" ht="16.5" thickBot="1" x14ac:dyDescent="0.3">
      <c r="A233" s="127" t="s">
        <v>305</v>
      </c>
      <c r="B233" s="128" t="s">
        <v>9</v>
      </c>
      <c r="C233" s="128">
        <v>190102</v>
      </c>
      <c r="D233" s="129" t="s">
        <v>304</v>
      </c>
      <c r="E233" s="130">
        <f>'MEMÓRIA DE CÁLCULO'!D418</f>
        <v>16.399999999999999</v>
      </c>
      <c r="F233" s="128" t="s">
        <v>254</v>
      </c>
      <c r="G233" s="131"/>
      <c r="H233" s="131"/>
      <c r="I233" s="125">
        <f>(G233+H233)*E233</f>
        <v>0</v>
      </c>
      <c r="J233" s="280">
        <f t="shared" si="38"/>
        <v>0</v>
      </c>
      <c r="K233" s="280">
        <f t="shared" si="39"/>
        <v>0</v>
      </c>
      <c r="L233" s="280">
        <f t="shared" si="34"/>
        <v>0</v>
      </c>
    </row>
    <row r="234" spans="1:12" ht="16.5" thickBot="1" x14ac:dyDescent="0.3">
      <c r="A234" s="289" t="s">
        <v>439</v>
      </c>
      <c r="B234" s="290"/>
      <c r="C234" s="290"/>
      <c r="D234" s="290"/>
      <c r="E234" s="290"/>
      <c r="F234" s="290"/>
      <c r="G234" s="290"/>
      <c r="H234" s="290"/>
      <c r="I234" s="88">
        <f>I233</f>
        <v>0</v>
      </c>
      <c r="J234" s="280">
        <f t="shared" si="38"/>
        <v>0</v>
      </c>
      <c r="K234" s="280">
        <f t="shared" si="39"/>
        <v>0</v>
      </c>
      <c r="L234" s="280">
        <f t="shared" si="34"/>
        <v>0</v>
      </c>
    </row>
    <row r="235" spans="1:12" ht="16.5" thickBot="1" x14ac:dyDescent="0.3">
      <c r="A235" s="69" t="s">
        <v>2</v>
      </c>
      <c r="B235" s="69" t="s">
        <v>429</v>
      </c>
      <c r="C235" s="69" t="s">
        <v>430</v>
      </c>
      <c r="D235" s="85" t="s">
        <v>3</v>
      </c>
      <c r="E235" s="69" t="s">
        <v>4</v>
      </c>
      <c r="F235" s="69" t="s">
        <v>5</v>
      </c>
      <c r="G235" s="69" t="s">
        <v>6</v>
      </c>
      <c r="H235" s="69" t="s">
        <v>7</v>
      </c>
      <c r="I235" s="79" t="s">
        <v>8</v>
      </c>
      <c r="L235" s="280">
        <f t="shared" si="34"/>
        <v>0</v>
      </c>
    </row>
    <row r="236" spans="1:12" x14ac:dyDescent="0.25">
      <c r="A236" s="119">
        <v>17</v>
      </c>
      <c r="B236" s="118" t="s">
        <v>9</v>
      </c>
      <c r="C236" s="118">
        <v>200000</v>
      </c>
      <c r="D236" s="292" t="s">
        <v>36</v>
      </c>
      <c r="E236" s="292"/>
      <c r="F236" s="292"/>
      <c r="G236" s="292"/>
      <c r="H236" s="292"/>
      <c r="I236" s="293"/>
      <c r="J236" s="280">
        <f t="shared" si="38"/>
        <v>0</v>
      </c>
      <c r="K236" s="280">
        <f t="shared" si="39"/>
        <v>0</v>
      </c>
      <c r="L236" s="280">
        <f t="shared" si="34"/>
        <v>0</v>
      </c>
    </row>
    <row r="237" spans="1:12" x14ac:dyDescent="0.25">
      <c r="A237" s="120" t="s">
        <v>294</v>
      </c>
      <c r="B237" s="99" t="s">
        <v>9</v>
      </c>
      <c r="C237" s="99">
        <v>200101</v>
      </c>
      <c r="D237" s="100" t="s">
        <v>292</v>
      </c>
      <c r="E237" s="101">
        <f>'MEMÓRIA DE CÁLCULO'!D427</f>
        <v>794.66</v>
      </c>
      <c r="F237" s="99" t="s">
        <v>15</v>
      </c>
      <c r="G237" s="103"/>
      <c r="H237" s="103"/>
      <c r="I237" s="102">
        <f>(G237+H237)*E237</f>
        <v>0</v>
      </c>
      <c r="J237" s="280">
        <f t="shared" si="38"/>
        <v>0</v>
      </c>
      <c r="K237" s="280">
        <f t="shared" si="39"/>
        <v>0</v>
      </c>
      <c r="L237" s="280">
        <f t="shared" si="34"/>
        <v>0</v>
      </c>
    </row>
    <row r="238" spans="1:12" x14ac:dyDescent="0.25">
      <c r="A238" s="120" t="s">
        <v>295</v>
      </c>
      <c r="B238" s="99" t="s">
        <v>9</v>
      </c>
      <c r="C238" s="99">
        <v>200201</v>
      </c>
      <c r="D238" s="100" t="s">
        <v>396</v>
      </c>
      <c r="E238" s="101">
        <f>'MEMÓRIA DE CÁLCULO'!D430</f>
        <v>794.66</v>
      </c>
      <c r="F238" s="99" t="s">
        <v>254</v>
      </c>
      <c r="G238" s="103"/>
      <c r="H238" s="103"/>
      <c r="I238" s="102">
        <f t="shared" ref="I238:I240" si="41">(G238+H238)*E238</f>
        <v>0</v>
      </c>
      <c r="J238" s="280">
        <f t="shared" si="38"/>
        <v>0</v>
      </c>
      <c r="K238" s="280">
        <f t="shared" si="39"/>
        <v>0</v>
      </c>
      <c r="L238" s="280">
        <f t="shared" si="34"/>
        <v>0</v>
      </c>
    </row>
    <row r="239" spans="1:12" x14ac:dyDescent="0.25">
      <c r="A239" s="120" t="s">
        <v>296</v>
      </c>
      <c r="B239" s="99" t="s">
        <v>9</v>
      </c>
      <c r="C239" s="99">
        <v>200403</v>
      </c>
      <c r="D239" s="100" t="s">
        <v>395</v>
      </c>
      <c r="E239" s="101">
        <f>'MEMÓRIA DE CÁLCULO'!D437</f>
        <v>738.37</v>
      </c>
      <c r="F239" s="99" t="s">
        <v>254</v>
      </c>
      <c r="G239" s="103"/>
      <c r="H239" s="103"/>
      <c r="I239" s="102">
        <f t="shared" si="41"/>
        <v>0</v>
      </c>
      <c r="J239" s="280">
        <f t="shared" si="38"/>
        <v>0</v>
      </c>
      <c r="K239" s="280">
        <f t="shared" si="39"/>
        <v>0</v>
      </c>
      <c r="L239" s="280">
        <f t="shared" si="34"/>
        <v>0</v>
      </c>
    </row>
    <row r="240" spans="1:12" ht="16.5" thickBot="1" x14ac:dyDescent="0.3">
      <c r="A240" s="120" t="s">
        <v>297</v>
      </c>
      <c r="B240" s="121" t="s">
        <v>9</v>
      </c>
      <c r="C240" s="121">
        <v>201302</v>
      </c>
      <c r="D240" s="122" t="s">
        <v>293</v>
      </c>
      <c r="E240" s="123">
        <f>'MEMÓRIA DE CÁLCULO'!D440</f>
        <v>56.290000000000006</v>
      </c>
      <c r="F240" s="128" t="s">
        <v>254</v>
      </c>
      <c r="G240" s="124"/>
      <c r="H240" s="124"/>
      <c r="I240" s="102">
        <f t="shared" si="41"/>
        <v>0</v>
      </c>
      <c r="J240" s="280">
        <f t="shared" si="38"/>
        <v>0</v>
      </c>
      <c r="K240" s="280">
        <f t="shared" si="39"/>
        <v>0</v>
      </c>
      <c r="L240" s="280">
        <f t="shared" si="34"/>
        <v>0</v>
      </c>
    </row>
    <row r="241" spans="1:12" ht="16.5" thickBot="1" x14ac:dyDescent="0.3">
      <c r="A241" s="289" t="s">
        <v>439</v>
      </c>
      <c r="B241" s="290"/>
      <c r="C241" s="290"/>
      <c r="D241" s="290"/>
      <c r="E241" s="290"/>
      <c r="F241" s="290"/>
      <c r="G241" s="290"/>
      <c r="H241" s="290"/>
      <c r="I241" s="88">
        <f>ROUND(SUM(I237:I240),2)</f>
        <v>0</v>
      </c>
      <c r="J241" s="280">
        <f t="shared" si="38"/>
        <v>0</v>
      </c>
      <c r="K241" s="280">
        <f t="shared" si="39"/>
        <v>0</v>
      </c>
      <c r="L241" s="280">
        <f t="shared" si="34"/>
        <v>0</v>
      </c>
    </row>
    <row r="242" spans="1:12" ht="16.5" thickBot="1" x14ac:dyDescent="0.3">
      <c r="A242" s="69" t="s">
        <v>2</v>
      </c>
      <c r="B242" s="69" t="s">
        <v>429</v>
      </c>
      <c r="C242" s="69" t="s">
        <v>430</v>
      </c>
      <c r="D242" s="85" t="s">
        <v>3</v>
      </c>
      <c r="E242" s="69" t="s">
        <v>4</v>
      </c>
      <c r="F242" s="69" t="s">
        <v>5</v>
      </c>
      <c r="G242" s="69" t="s">
        <v>6</v>
      </c>
      <c r="H242" s="69" t="s">
        <v>7</v>
      </c>
      <c r="I242" s="79" t="s">
        <v>8</v>
      </c>
      <c r="L242" s="280">
        <f t="shared" si="34"/>
        <v>0</v>
      </c>
    </row>
    <row r="243" spans="1:12" x14ac:dyDescent="0.25">
      <c r="A243" s="119">
        <v>18</v>
      </c>
      <c r="B243" s="118" t="s">
        <v>9</v>
      </c>
      <c r="C243" s="118">
        <v>210000</v>
      </c>
      <c r="D243" s="292" t="s">
        <v>37</v>
      </c>
      <c r="E243" s="292"/>
      <c r="F243" s="292"/>
      <c r="G243" s="292"/>
      <c r="H243" s="292"/>
      <c r="I243" s="293"/>
      <c r="J243" s="280">
        <f t="shared" si="38"/>
        <v>0</v>
      </c>
      <c r="K243" s="280">
        <f t="shared" si="39"/>
        <v>0</v>
      </c>
      <c r="L243" s="280">
        <f t="shared" si="34"/>
        <v>0</v>
      </c>
    </row>
    <row r="244" spans="1:12" ht="31.5" x14ac:dyDescent="0.25">
      <c r="A244" s="120" t="s">
        <v>307</v>
      </c>
      <c r="B244" s="121" t="s">
        <v>9</v>
      </c>
      <c r="C244" s="132">
        <v>210460</v>
      </c>
      <c r="D244" s="133" t="str">
        <f>'MEMÓRIA DE CÁLCULO'!B443</f>
        <v>FORRO DE PVC COM ESTRUTURA EM METALON PINTADA COM TINTA ALQUÍDICA D.F.</v>
      </c>
      <c r="E244" s="101">
        <f>'MEMÓRIA DE CÁLCULO'!D446</f>
        <v>213.66499999999999</v>
      </c>
      <c r="F244" s="99" t="s">
        <v>15</v>
      </c>
      <c r="G244" s="103"/>
      <c r="H244" s="103"/>
      <c r="I244" s="102">
        <f>(G244+H244)*E244</f>
        <v>0</v>
      </c>
      <c r="J244" s="280">
        <f t="shared" si="38"/>
        <v>0</v>
      </c>
      <c r="K244" s="280">
        <f t="shared" si="39"/>
        <v>0</v>
      </c>
      <c r="L244" s="280">
        <f t="shared" si="34"/>
        <v>0</v>
      </c>
    </row>
    <row r="245" spans="1:12" ht="16.5" thickBot="1" x14ac:dyDescent="0.3">
      <c r="A245" s="126" t="s">
        <v>308</v>
      </c>
      <c r="B245" s="121" t="s">
        <v>9</v>
      </c>
      <c r="C245" s="145">
        <v>210515</v>
      </c>
      <c r="D245" s="146" t="s">
        <v>306</v>
      </c>
      <c r="E245" s="123">
        <f>'MEMÓRIA DE CÁLCULO'!D449</f>
        <v>30.28</v>
      </c>
      <c r="F245" s="121" t="s">
        <v>15</v>
      </c>
      <c r="G245" s="124"/>
      <c r="H245" s="124"/>
      <c r="I245" s="125">
        <f>(G245+H245)*E245</f>
        <v>0</v>
      </c>
      <c r="J245" s="280">
        <f t="shared" si="38"/>
        <v>0</v>
      </c>
      <c r="K245" s="280">
        <f t="shared" si="39"/>
        <v>0</v>
      </c>
      <c r="L245" s="280">
        <f t="shared" si="34"/>
        <v>0</v>
      </c>
    </row>
    <row r="246" spans="1:12" ht="16.5" thickBot="1" x14ac:dyDescent="0.3">
      <c r="A246" s="289" t="s">
        <v>439</v>
      </c>
      <c r="B246" s="290"/>
      <c r="C246" s="290"/>
      <c r="D246" s="290"/>
      <c r="E246" s="290"/>
      <c r="F246" s="290"/>
      <c r="G246" s="290"/>
      <c r="H246" s="290"/>
      <c r="I246" s="88">
        <f>ROUND(SUM(I244:I245),2)</f>
        <v>0</v>
      </c>
      <c r="J246" s="280">
        <f t="shared" si="38"/>
        <v>0</v>
      </c>
      <c r="K246" s="280">
        <f t="shared" si="39"/>
        <v>0</v>
      </c>
      <c r="L246" s="280">
        <f t="shared" si="34"/>
        <v>0</v>
      </c>
    </row>
    <row r="247" spans="1:12" ht="16.5" thickBot="1" x14ac:dyDescent="0.3">
      <c r="A247" s="69" t="s">
        <v>2</v>
      </c>
      <c r="B247" s="69" t="s">
        <v>429</v>
      </c>
      <c r="C247" s="69" t="s">
        <v>430</v>
      </c>
      <c r="D247" s="85" t="s">
        <v>3</v>
      </c>
      <c r="E247" s="69" t="s">
        <v>4</v>
      </c>
      <c r="F247" s="69" t="s">
        <v>5</v>
      </c>
      <c r="G247" s="69" t="s">
        <v>6</v>
      </c>
      <c r="H247" s="69" t="s">
        <v>7</v>
      </c>
      <c r="I247" s="79" t="s">
        <v>8</v>
      </c>
      <c r="L247" s="280">
        <f t="shared" si="34"/>
        <v>0</v>
      </c>
    </row>
    <row r="248" spans="1:12" x14ac:dyDescent="0.25">
      <c r="A248" s="119">
        <v>19</v>
      </c>
      <c r="B248" s="118" t="s">
        <v>9</v>
      </c>
      <c r="C248" s="118">
        <v>220000</v>
      </c>
      <c r="D248" s="292" t="s">
        <v>38</v>
      </c>
      <c r="E248" s="292"/>
      <c r="F248" s="292"/>
      <c r="G248" s="292"/>
      <c r="H248" s="292"/>
      <c r="I248" s="293"/>
      <c r="J248" s="280">
        <f t="shared" si="38"/>
        <v>0</v>
      </c>
      <c r="K248" s="280">
        <f t="shared" si="39"/>
        <v>0</v>
      </c>
      <c r="L248" s="280">
        <f t="shared" si="34"/>
        <v>0</v>
      </c>
    </row>
    <row r="249" spans="1:12" ht="31.5" x14ac:dyDescent="0.25">
      <c r="A249" s="120" t="s">
        <v>330</v>
      </c>
      <c r="B249" s="99" t="s">
        <v>9</v>
      </c>
      <c r="C249" s="99">
        <v>220050</v>
      </c>
      <c r="D249" s="100" t="str">
        <f>'MEMÓRIA DE CÁLCULO'!B452</f>
        <v>LASTRO DE CONCRETO REGULARIZADO SEM IMPERMEAB. 1:3:6 ESP= 5CM (BASE)</v>
      </c>
      <c r="E249" s="101">
        <f>'MEMÓRIA DE CÁLCULO'!D455</f>
        <v>161.07</v>
      </c>
      <c r="F249" s="99" t="s">
        <v>15</v>
      </c>
      <c r="G249" s="103"/>
      <c r="H249" s="103"/>
      <c r="I249" s="102">
        <f>(G249+H249)*E249</f>
        <v>0</v>
      </c>
      <c r="J249" s="280">
        <f t="shared" si="38"/>
        <v>0</v>
      </c>
      <c r="K249" s="280">
        <f t="shared" si="39"/>
        <v>0</v>
      </c>
      <c r="L249" s="280">
        <f t="shared" si="34"/>
        <v>0</v>
      </c>
    </row>
    <row r="250" spans="1:12" ht="31.5" x14ac:dyDescent="0.25">
      <c r="A250" s="120" t="s">
        <v>331</v>
      </c>
      <c r="B250" s="99" t="s">
        <v>9</v>
      </c>
      <c r="C250" s="99">
        <v>220100</v>
      </c>
      <c r="D250" s="100" t="s">
        <v>327</v>
      </c>
      <c r="E250" s="101">
        <f>'MEMÓRIA DE CÁLCULO'!D459</f>
        <v>33.35</v>
      </c>
      <c r="F250" s="99" t="s">
        <v>254</v>
      </c>
      <c r="G250" s="103"/>
      <c r="H250" s="103"/>
      <c r="I250" s="102">
        <f t="shared" ref="I250:I255" si="42">(G250+H250)*E250</f>
        <v>0</v>
      </c>
      <c r="J250" s="280">
        <f t="shared" si="38"/>
        <v>0</v>
      </c>
      <c r="K250" s="280">
        <f t="shared" si="39"/>
        <v>0</v>
      </c>
      <c r="L250" s="280">
        <f t="shared" si="34"/>
        <v>0</v>
      </c>
    </row>
    <row r="251" spans="1:12" ht="31.5" x14ac:dyDescent="0.25">
      <c r="A251" s="120" t="s">
        <v>332</v>
      </c>
      <c r="B251" s="99" t="s">
        <v>9</v>
      </c>
      <c r="C251" s="99">
        <v>220101</v>
      </c>
      <c r="D251" s="100" t="str">
        <f>'MEMÓRIA DE CÁLCULO'!B460</f>
        <v>LASTRO DE CONCRETO REGULARIZADO IMPERMEABILIZADO 1:3:6 ESP=5CM (BASE)</v>
      </c>
      <c r="E251" s="101">
        <f>'MEMÓRIA DE CÁLCULO'!D468</f>
        <v>257.08</v>
      </c>
      <c r="F251" s="99" t="s">
        <v>254</v>
      </c>
      <c r="G251" s="103"/>
      <c r="H251" s="103"/>
      <c r="I251" s="102">
        <f t="shared" si="42"/>
        <v>0</v>
      </c>
      <c r="J251" s="280">
        <f t="shared" si="38"/>
        <v>0</v>
      </c>
      <c r="K251" s="280">
        <f t="shared" si="39"/>
        <v>0</v>
      </c>
      <c r="L251" s="280">
        <f t="shared" si="34"/>
        <v>0</v>
      </c>
    </row>
    <row r="252" spans="1:12" x14ac:dyDescent="0.25">
      <c r="A252" s="120" t="s">
        <v>333</v>
      </c>
      <c r="B252" s="99" t="s">
        <v>9</v>
      </c>
      <c r="C252" s="99">
        <v>220102</v>
      </c>
      <c r="D252" s="100" t="str">
        <f>'MEMÓRIA DE CÁLCULO'!B469</f>
        <v>PISO CONCRETO DESEMPENADO ESPESSURA = 5 CM 1:2,5:3,5</v>
      </c>
      <c r="E252" s="101">
        <f>'MEMÓRIA DE CÁLCULO'!D471</f>
        <v>127.72</v>
      </c>
      <c r="F252" s="99" t="s">
        <v>254</v>
      </c>
      <c r="G252" s="103"/>
      <c r="H252" s="103"/>
      <c r="I252" s="102">
        <f t="shared" si="42"/>
        <v>0</v>
      </c>
      <c r="J252" s="280">
        <f t="shared" si="38"/>
        <v>0</v>
      </c>
      <c r="K252" s="280">
        <f t="shared" si="39"/>
        <v>0</v>
      </c>
      <c r="L252" s="280">
        <f t="shared" si="34"/>
        <v>0</v>
      </c>
    </row>
    <row r="253" spans="1:12" x14ac:dyDescent="0.25">
      <c r="A253" s="120" t="s">
        <v>334</v>
      </c>
      <c r="B253" s="99" t="s">
        <v>9</v>
      </c>
      <c r="C253" s="99">
        <v>220107</v>
      </c>
      <c r="D253" s="100" t="str">
        <f>'MEMÓRIA DE CÁLCULO'!B472</f>
        <v>LASTRO DE BRITA PARA PISO - (OBRAS CIVIS)</v>
      </c>
      <c r="E253" s="101">
        <f>'MEMÓRIA DE CÁLCULO'!D475</f>
        <v>5.0150000000000006</v>
      </c>
      <c r="F253" s="99" t="s">
        <v>55</v>
      </c>
      <c r="G253" s="103"/>
      <c r="H253" s="103"/>
      <c r="I253" s="102">
        <f t="shared" si="42"/>
        <v>0</v>
      </c>
      <c r="J253" s="280">
        <f t="shared" si="38"/>
        <v>0</v>
      </c>
      <c r="K253" s="280">
        <f t="shared" si="39"/>
        <v>0</v>
      </c>
      <c r="L253" s="280">
        <f t="shared" si="34"/>
        <v>0</v>
      </c>
    </row>
    <row r="254" spans="1:12" ht="31.5" x14ac:dyDescent="0.25">
      <c r="A254" s="120" t="s">
        <v>621</v>
      </c>
      <c r="B254" s="99" t="s">
        <v>9</v>
      </c>
      <c r="C254" s="99">
        <v>221101</v>
      </c>
      <c r="D254" s="100" t="s">
        <v>328</v>
      </c>
      <c r="E254" s="101">
        <f>'MEMÓRIA DE CÁLCULO'!D478</f>
        <v>257.08</v>
      </c>
      <c r="F254" s="99" t="s">
        <v>15</v>
      </c>
      <c r="G254" s="103"/>
      <c r="H254" s="103"/>
      <c r="I254" s="102">
        <f t="shared" si="42"/>
        <v>0</v>
      </c>
      <c r="J254" s="280">
        <f t="shared" si="38"/>
        <v>0</v>
      </c>
      <c r="K254" s="280">
        <f t="shared" si="39"/>
        <v>0</v>
      </c>
      <c r="L254" s="280">
        <f t="shared" si="34"/>
        <v>0</v>
      </c>
    </row>
    <row r="255" spans="1:12" ht="16.5" thickBot="1" x14ac:dyDescent="0.3">
      <c r="A255" s="120" t="s">
        <v>622</v>
      </c>
      <c r="B255" s="121" t="s">
        <v>9</v>
      </c>
      <c r="C255" s="99">
        <v>221102</v>
      </c>
      <c r="D255" s="122" t="s">
        <v>329</v>
      </c>
      <c r="E255" s="123">
        <f>'MEMÓRIA DE CÁLCULO'!D483</f>
        <v>76.610000000000014</v>
      </c>
      <c r="F255" s="121" t="s">
        <v>25</v>
      </c>
      <c r="G255" s="124"/>
      <c r="H255" s="124"/>
      <c r="I255" s="102">
        <f t="shared" si="42"/>
        <v>0</v>
      </c>
      <c r="J255" s="280">
        <f t="shared" si="38"/>
        <v>0</v>
      </c>
      <c r="K255" s="280">
        <f t="shared" si="39"/>
        <v>0</v>
      </c>
      <c r="L255" s="280">
        <f t="shared" si="34"/>
        <v>0</v>
      </c>
    </row>
    <row r="256" spans="1:12" ht="16.5" thickBot="1" x14ac:dyDescent="0.3">
      <c r="A256" s="289" t="s">
        <v>439</v>
      </c>
      <c r="B256" s="290"/>
      <c r="C256" s="290"/>
      <c r="D256" s="290"/>
      <c r="E256" s="290"/>
      <c r="F256" s="290"/>
      <c r="G256" s="290"/>
      <c r="H256" s="290"/>
      <c r="I256" s="88">
        <f>ROUND(SUM(I249:I255),2)</f>
        <v>0</v>
      </c>
      <c r="J256" s="280">
        <f t="shared" si="38"/>
        <v>0</v>
      </c>
      <c r="K256" s="280">
        <f t="shared" si="39"/>
        <v>0</v>
      </c>
      <c r="L256" s="280">
        <f t="shared" si="34"/>
        <v>0</v>
      </c>
    </row>
    <row r="257" spans="1:12" ht="16.5" thickBot="1" x14ac:dyDescent="0.3">
      <c r="A257" s="69" t="s">
        <v>2</v>
      </c>
      <c r="B257" s="69" t="s">
        <v>429</v>
      </c>
      <c r="C257" s="69" t="s">
        <v>430</v>
      </c>
      <c r="D257" s="85" t="s">
        <v>3</v>
      </c>
      <c r="E257" s="69" t="s">
        <v>4</v>
      </c>
      <c r="F257" s="69" t="s">
        <v>5</v>
      </c>
      <c r="G257" s="69" t="s">
        <v>6</v>
      </c>
      <c r="H257" s="69" t="s">
        <v>7</v>
      </c>
      <c r="I257" s="79" t="s">
        <v>8</v>
      </c>
      <c r="L257" s="280">
        <f t="shared" si="34"/>
        <v>0</v>
      </c>
    </row>
    <row r="258" spans="1:12" x14ac:dyDescent="0.25">
      <c r="A258" s="119">
        <v>20</v>
      </c>
      <c r="B258" s="118" t="s">
        <v>9</v>
      </c>
      <c r="C258" s="118">
        <v>230000</v>
      </c>
      <c r="D258" s="292" t="s">
        <v>39</v>
      </c>
      <c r="E258" s="292"/>
      <c r="F258" s="292"/>
      <c r="G258" s="292"/>
      <c r="H258" s="292"/>
      <c r="I258" s="293"/>
      <c r="J258" s="280">
        <f t="shared" si="38"/>
        <v>0</v>
      </c>
      <c r="K258" s="280">
        <f t="shared" si="39"/>
        <v>0</v>
      </c>
      <c r="L258" s="280">
        <f t="shared" si="34"/>
        <v>0</v>
      </c>
    </row>
    <row r="259" spans="1:12" x14ac:dyDescent="0.25">
      <c r="A259" s="120" t="s">
        <v>312</v>
      </c>
      <c r="B259" s="99" t="s">
        <v>9</v>
      </c>
      <c r="C259" s="99">
        <v>230102</v>
      </c>
      <c r="D259" s="100" t="str">
        <f>'MEMÓRIA DE CÁLCULO'!B486</f>
        <v>FECH.(ALAV.) LAFONTE 6236 I /8766- I18 IMAB OU EQUIV</v>
      </c>
      <c r="E259" s="101">
        <f>'MEMÓRIA DE CÁLCULO'!D488</f>
        <v>4</v>
      </c>
      <c r="F259" s="99" t="s">
        <v>378</v>
      </c>
      <c r="G259" s="103"/>
      <c r="H259" s="103"/>
      <c r="I259" s="102">
        <f>(G259+H259)*E259</f>
        <v>0</v>
      </c>
      <c r="J259" s="280">
        <f t="shared" si="38"/>
        <v>0</v>
      </c>
      <c r="K259" s="280">
        <f t="shared" si="39"/>
        <v>0</v>
      </c>
      <c r="L259" s="280">
        <f t="shared" si="34"/>
        <v>0</v>
      </c>
    </row>
    <row r="260" spans="1:12" x14ac:dyDescent="0.25">
      <c r="A260" s="120" t="s">
        <v>313</v>
      </c>
      <c r="B260" s="99" t="s">
        <v>9</v>
      </c>
      <c r="C260" s="99">
        <v>230174</v>
      </c>
      <c r="D260" s="100" t="s">
        <v>309</v>
      </c>
      <c r="E260" s="101">
        <f>'MEMÓRIA DE CÁLCULO'!D492</f>
        <v>2</v>
      </c>
      <c r="F260" s="99" t="s">
        <v>378</v>
      </c>
      <c r="G260" s="103"/>
      <c r="H260" s="103"/>
      <c r="I260" s="102">
        <f t="shared" ref="I260:I263" si="43">(G260+H260)*E260</f>
        <v>0</v>
      </c>
      <c r="J260" s="280">
        <f t="shared" si="38"/>
        <v>0</v>
      </c>
      <c r="K260" s="280">
        <f t="shared" si="39"/>
        <v>0</v>
      </c>
      <c r="L260" s="280">
        <f t="shared" si="34"/>
        <v>0</v>
      </c>
    </row>
    <row r="261" spans="1:12" x14ac:dyDescent="0.25">
      <c r="A261" s="120" t="s">
        <v>314</v>
      </c>
      <c r="B261" s="99" t="s">
        <v>9</v>
      </c>
      <c r="C261" s="99">
        <v>230176</v>
      </c>
      <c r="D261" s="100" t="s">
        <v>310</v>
      </c>
      <c r="E261" s="101">
        <f>'MEMÓRIA DE CÁLCULO'!D496</f>
        <v>2</v>
      </c>
      <c r="F261" s="99" t="s">
        <v>378</v>
      </c>
      <c r="G261" s="103"/>
      <c r="H261" s="103"/>
      <c r="I261" s="102">
        <f t="shared" si="43"/>
        <v>0</v>
      </c>
      <c r="J261" s="280">
        <f t="shared" si="38"/>
        <v>0</v>
      </c>
      <c r="K261" s="280">
        <f t="shared" si="39"/>
        <v>0</v>
      </c>
      <c r="L261" s="280">
        <f t="shared" si="34"/>
        <v>0</v>
      </c>
    </row>
    <row r="262" spans="1:12" x14ac:dyDescent="0.25">
      <c r="A262" s="126" t="s">
        <v>315</v>
      </c>
      <c r="B262" s="121" t="s">
        <v>9</v>
      </c>
      <c r="C262" s="121">
        <v>230201</v>
      </c>
      <c r="D262" s="122" t="s">
        <v>311</v>
      </c>
      <c r="E262" s="123">
        <f>'MEMÓRIA DE CÁLCULO'!D500</f>
        <v>12</v>
      </c>
      <c r="F262" s="99" t="s">
        <v>378</v>
      </c>
      <c r="G262" s="124"/>
      <c r="H262" s="124"/>
      <c r="I262" s="102">
        <f t="shared" si="43"/>
        <v>0</v>
      </c>
      <c r="J262" s="280">
        <f t="shared" si="38"/>
        <v>0</v>
      </c>
      <c r="K262" s="280">
        <f t="shared" si="39"/>
        <v>0</v>
      </c>
      <c r="L262" s="280">
        <f t="shared" si="34"/>
        <v>0</v>
      </c>
    </row>
    <row r="263" spans="1:12" ht="16.5" thickBot="1" x14ac:dyDescent="0.3">
      <c r="A263" s="126" t="s">
        <v>699</v>
      </c>
      <c r="B263" s="121" t="s">
        <v>9</v>
      </c>
      <c r="C263" s="121">
        <v>230804</v>
      </c>
      <c r="D263" s="122" t="str">
        <f>'MEMÓRIA DE CÁLCULO'!B501</f>
        <v>CADEADO 50 MM</v>
      </c>
      <c r="E263" s="123">
        <f>'MEMÓRIA DE CÁLCULO'!D503</f>
        <v>3</v>
      </c>
      <c r="F263" s="128" t="s">
        <v>378</v>
      </c>
      <c r="G263" s="124"/>
      <c r="H263" s="124"/>
      <c r="I263" s="102">
        <f t="shared" si="43"/>
        <v>0</v>
      </c>
      <c r="J263" s="280">
        <f t="shared" si="38"/>
        <v>0</v>
      </c>
      <c r="K263" s="280">
        <f t="shared" si="39"/>
        <v>0</v>
      </c>
      <c r="L263" s="280">
        <f t="shared" si="34"/>
        <v>0</v>
      </c>
    </row>
    <row r="264" spans="1:12" ht="16.5" thickBot="1" x14ac:dyDescent="0.3">
      <c r="A264" s="289" t="s">
        <v>439</v>
      </c>
      <c r="B264" s="290"/>
      <c r="C264" s="290"/>
      <c r="D264" s="290"/>
      <c r="E264" s="290"/>
      <c r="F264" s="290"/>
      <c r="G264" s="290"/>
      <c r="H264" s="290"/>
      <c r="I264" s="88">
        <f>ROUND(SUM(I259:I263),2)</f>
        <v>0</v>
      </c>
      <c r="J264" s="280">
        <f t="shared" si="38"/>
        <v>0</v>
      </c>
      <c r="K264" s="280">
        <f t="shared" si="39"/>
        <v>0</v>
      </c>
      <c r="L264" s="280">
        <f t="shared" si="34"/>
        <v>0</v>
      </c>
    </row>
    <row r="265" spans="1:12" ht="16.5" thickBot="1" x14ac:dyDescent="0.3">
      <c r="A265" s="69" t="s">
        <v>2</v>
      </c>
      <c r="B265" s="69" t="s">
        <v>429</v>
      </c>
      <c r="C265" s="69" t="s">
        <v>430</v>
      </c>
      <c r="D265" s="85" t="s">
        <v>3</v>
      </c>
      <c r="E265" s="69" t="s">
        <v>4</v>
      </c>
      <c r="F265" s="69" t="s">
        <v>5</v>
      </c>
      <c r="G265" s="69" t="s">
        <v>6</v>
      </c>
      <c r="H265" s="69" t="s">
        <v>7</v>
      </c>
      <c r="I265" s="79" t="s">
        <v>8</v>
      </c>
      <c r="L265" s="280">
        <f t="shared" si="34"/>
        <v>0</v>
      </c>
    </row>
    <row r="266" spans="1:12" x14ac:dyDescent="0.25">
      <c r="A266" s="119">
        <v>21</v>
      </c>
      <c r="B266" s="118" t="s">
        <v>9</v>
      </c>
      <c r="C266" s="118">
        <v>250000</v>
      </c>
      <c r="D266" s="292" t="s">
        <v>40</v>
      </c>
      <c r="E266" s="292"/>
      <c r="F266" s="292"/>
      <c r="G266" s="292"/>
      <c r="H266" s="292"/>
      <c r="I266" s="293"/>
      <c r="J266" s="280">
        <f t="shared" si="38"/>
        <v>0</v>
      </c>
      <c r="K266" s="280">
        <f t="shared" si="39"/>
        <v>0</v>
      </c>
      <c r="L266" s="280">
        <f t="shared" si="34"/>
        <v>0</v>
      </c>
    </row>
    <row r="267" spans="1:12" ht="15.75" customHeight="1" thickBot="1" x14ac:dyDescent="0.3">
      <c r="A267" s="120" t="s">
        <v>318</v>
      </c>
      <c r="B267" s="99" t="s">
        <v>9</v>
      </c>
      <c r="C267" s="99">
        <v>250103</v>
      </c>
      <c r="D267" s="100" t="str">
        <f>'MEMÓRIA DE CÁLCULO'!B506</f>
        <v>ENCARREGADO - (OBRAS CIVIS)</v>
      </c>
      <c r="E267" s="101">
        <f>'MEMÓRIA DE CÁLCULO'!D509</f>
        <v>1056</v>
      </c>
      <c r="F267" s="99" t="s">
        <v>317</v>
      </c>
      <c r="G267" s="103"/>
      <c r="H267" s="103"/>
      <c r="I267" s="102">
        <f>(G267+H267)*E267</f>
        <v>0</v>
      </c>
      <c r="J267" s="280">
        <f t="shared" si="38"/>
        <v>0</v>
      </c>
      <c r="K267" s="280">
        <f t="shared" si="39"/>
        <v>0</v>
      </c>
      <c r="L267" s="280">
        <f t="shared" si="34"/>
        <v>0</v>
      </c>
    </row>
    <row r="268" spans="1:12" ht="16.5" thickBot="1" x14ac:dyDescent="0.3">
      <c r="A268" s="289" t="s">
        <v>439</v>
      </c>
      <c r="B268" s="290"/>
      <c r="C268" s="290"/>
      <c r="D268" s="290"/>
      <c r="E268" s="290"/>
      <c r="F268" s="290"/>
      <c r="G268" s="290"/>
      <c r="H268" s="290"/>
      <c r="I268" s="88">
        <f>ROUND(SUM(I267),2)</f>
        <v>0</v>
      </c>
      <c r="J268" s="280">
        <f t="shared" si="38"/>
        <v>0</v>
      </c>
      <c r="K268" s="280">
        <f t="shared" si="39"/>
        <v>0</v>
      </c>
      <c r="L268" s="280">
        <f t="shared" si="34"/>
        <v>0</v>
      </c>
    </row>
    <row r="269" spans="1:12" ht="16.5" thickBot="1" x14ac:dyDescent="0.3">
      <c r="A269" s="69" t="s">
        <v>2</v>
      </c>
      <c r="B269" s="69" t="s">
        <v>429</v>
      </c>
      <c r="C269" s="69" t="s">
        <v>430</v>
      </c>
      <c r="D269" s="85" t="s">
        <v>3</v>
      </c>
      <c r="E269" s="69" t="s">
        <v>4</v>
      </c>
      <c r="F269" s="69" t="s">
        <v>5</v>
      </c>
      <c r="G269" s="69" t="s">
        <v>6</v>
      </c>
      <c r="H269" s="69" t="s">
        <v>7</v>
      </c>
      <c r="I269" s="79" t="s">
        <v>8</v>
      </c>
      <c r="L269" s="280">
        <f t="shared" si="34"/>
        <v>0</v>
      </c>
    </row>
    <row r="270" spans="1:12" x14ac:dyDescent="0.25">
      <c r="A270" s="119">
        <v>22</v>
      </c>
      <c r="B270" s="118" t="s">
        <v>9</v>
      </c>
      <c r="C270" s="118">
        <v>260000</v>
      </c>
      <c r="D270" s="292" t="s">
        <v>41</v>
      </c>
      <c r="E270" s="292"/>
      <c r="F270" s="292"/>
      <c r="G270" s="292"/>
      <c r="H270" s="292"/>
      <c r="I270" s="293"/>
      <c r="J270" s="280">
        <f t="shared" si="38"/>
        <v>0</v>
      </c>
      <c r="K270" s="280">
        <f t="shared" si="39"/>
        <v>0</v>
      </c>
      <c r="L270" s="280">
        <f t="shared" ref="L270:L286" si="44">K270+J270</f>
        <v>0</v>
      </c>
    </row>
    <row r="271" spans="1:12" x14ac:dyDescent="0.25">
      <c r="A271" s="120" t="s">
        <v>320</v>
      </c>
      <c r="B271" s="99" t="s">
        <v>9</v>
      </c>
      <c r="C271" s="99">
        <v>260601</v>
      </c>
      <c r="D271" s="100" t="str">
        <f>'MEMÓRIA DE CÁLCULO'!B512</f>
        <v>PINTURA TEXTURIZADA C/SELADOR ACRILICO</v>
      </c>
      <c r="E271" s="101">
        <f>'MEMÓRIA DE CÁLCULO'!D514</f>
        <v>327.37</v>
      </c>
      <c r="F271" s="99" t="s">
        <v>15</v>
      </c>
      <c r="G271" s="103"/>
      <c r="H271" s="103"/>
      <c r="I271" s="102">
        <f>(G271+H271)*E271</f>
        <v>0</v>
      </c>
      <c r="J271" s="280">
        <f t="shared" si="38"/>
        <v>0</v>
      </c>
      <c r="K271" s="280">
        <f t="shared" si="39"/>
        <v>0</v>
      </c>
      <c r="L271" s="280">
        <f t="shared" si="44"/>
        <v>0</v>
      </c>
    </row>
    <row r="272" spans="1:12" x14ac:dyDescent="0.25">
      <c r="A272" s="120" t="s">
        <v>321</v>
      </c>
      <c r="B272" s="99" t="s">
        <v>9</v>
      </c>
      <c r="C272" s="99">
        <v>261000</v>
      </c>
      <c r="D272" s="100" t="str">
        <f>'MEMÓRIA DE CÁLCULO'!B515</f>
        <v xml:space="preserve">PINTURA LATEX ACRILICA 2 DEMAOS C/SELADOR </v>
      </c>
      <c r="E272" s="101">
        <f>'MEMÓRIA DE CÁLCULO'!D520</f>
        <v>584.005</v>
      </c>
      <c r="F272" s="99" t="s">
        <v>15</v>
      </c>
      <c r="G272" s="103"/>
      <c r="H272" s="103"/>
      <c r="I272" s="102">
        <f t="shared" ref="I272:I276" si="45">(G272+H272)*E272</f>
        <v>0</v>
      </c>
      <c r="J272" s="280">
        <f t="shared" si="38"/>
        <v>0</v>
      </c>
      <c r="K272" s="280">
        <f t="shared" si="39"/>
        <v>0</v>
      </c>
      <c r="L272" s="280">
        <f t="shared" si="44"/>
        <v>0</v>
      </c>
    </row>
    <row r="273" spans="1:12" x14ac:dyDescent="0.25">
      <c r="A273" s="120" t="s">
        <v>322</v>
      </c>
      <c r="B273" s="99" t="s">
        <v>9</v>
      </c>
      <c r="C273" s="99">
        <v>261300</v>
      </c>
      <c r="D273" s="100" t="s">
        <v>728</v>
      </c>
      <c r="E273" s="101">
        <f>'MEMÓRIA DE CÁLCULO'!D523</f>
        <v>553.72500000000002</v>
      </c>
      <c r="F273" s="99" t="s">
        <v>254</v>
      </c>
      <c r="G273" s="103"/>
      <c r="H273" s="103"/>
      <c r="I273" s="102">
        <f t="shared" si="45"/>
        <v>0</v>
      </c>
      <c r="J273" s="280">
        <f t="shared" si="38"/>
        <v>0</v>
      </c>
      <c r="K273" s="280">
        <f t="shared" si="39"/>
        <v>0</v>
      </c>
      <c r="L273" s="280">
        <f t="shared" si="44"/>
        <v>0</v>
      </c>
    </row>
    <row r="274" spans="1:12" x14ac:dyDescent="0.25">
      <c r="A274" s="120" t="s">
        <v>323</v>
      </c>
      <c r="B274" s="99" t="s">
        <v>9</v>
      </c>
      <c r="C274" s="99">
        <v>261501</v>
      </c>
      <c r="D274" s="100" t="str">
        <f>'MEMÓRIA DE CÁLCULO'!B524</f>
        <v>EMASSAMENTO/OLEO/ESQUADRIAS MADEIRA</v>
      </c>
      <c r="E274" s="101">
        <f>'MEMÓRIA DE CÁLCULO'!D527</f>
        <v>20.160000000000004</v>
      </c>
      <c r="F274" s="99" t="s">
        <v>254</v>
      </c>
      <c r="G274" s="103"/>
      <c r="H274" s="103"/>
      <c r="I274" s="102">
        <f t="shared" si="45"/>
        <v>0</v>
      </c>
      <c r="J274" s="280">
        <f t="shared" si="38"/>
        <v>0</v>
      </c>
      <c r="K274" s="280">
        <f t="shared" si="39"/>
        <v>0</v>
      </c>
      <c r="L274" s="280">
        <f t="shared" si="44"/>
        <v>0</v>
      </c>
    </row>
    <row r="275" spans="1:12" ht="15.75" customHeight="1" x14ac:dyDescent="0.25">
      <c r="A275" s="120" t="s">
        <v>324</v>
      </c>
      <c r="B275" s="99" t="s">
        <v>9</v>
      </c>
      <c r="C275" s="99">
        <v>261302</v>
      </c>
      <c r="D275" s="100" t="str">
        <f>'MEMÓRIA DE CÁLCULO'!B528</f>
        <v>PINTURA ESMALTE SINTETICO 2 DEMÃOS EM ESQ. MADEIRA</v>
      </c>
      <c r="E275" s="101">
        <f>'MEMÓRIA DE CÁLCULO'!D530</f>
        <v>20.160000000000004</v>
      </c>
      <c r="F275" s="99" t="s">
        <v>254</v>
      </c>
      <c r="G275" s="103"/>
      <c r="H275" s="103"/>
      <c r="I275" s="102">
        <f t="shared" si="45"/>
        <v>0</v>
      </c>
      <c r="J275" s="280">
        <f t="shared" si="38"/>
        <v>0</v>
      </c>
      <c r="K275" s="280">
        <f t="shared" si="39"/>
        <v>0</v>
      </c>
      <c r="L275" s="280">
        <f t="shared" si="44"/>
        <v>0</v>
      </c>
    </row>
    <row r="276" spans="1:12" ht="16.5" thickBot="1" x14ac:dyDescent="0.3">
      <c r="A276" s="120" t="s">
        <v>325</v>
      </c>
      <c r="B276" s="99" t="s">
        <v>9</v>
      </c>
      <c r="C276" s="99">
        <v>261602</v>
      </c>
      <c r="D276" s="100" t="str">
        <f>'MEMÓRIA DE CÁLCULO'!B531</f>
        <v>PINT.ESMALTE/ESQUAD.FERRO C/FUNDO ANTICOR.</v>
      </c>
      <c r="E276" s="101">
        <f>'MEMÓRIA DE CÁLCULO'!D543</f>
        <v>68.38</v>
      </c>
      <c r="F276" s="99" t="s">
        <v>254</v>
      </c>
      <c r="G276" s="103"/>
      <c r="H276" s="103"/>
      <c r="I276" s="102">
        <f t="shared" si="45"/>
        <v>0</v>
      </c>
      <c r="J276" s="280">
        <f t="shared" si="38"/>
        <v>0</v>
      </c>
      <c r="K276" s="280">
        <f t="shared" si="39"/>
        <v>0</v>
      </c>
      <c r="L276" s="280">
        <f t="shared" si="44"/>
        <v>0</v>
      </c>
    </row>
    <row r="277" spans="1:12" ht="16.5" thickBot="1" x14ac:dyDescent="0.3">
      <c r="A277" s="289" t="s">
        <v>439</v>
      </c>
      <c r="B277" s="290"/>
      <c r="C277" s="290"/>
      <c r="D277" s="290"/>
      <c r="E277" s="290"/>
      <c r="F277" s="290"/>
      <c r="G277" s="290"/>
      <c r="H277" s="290"/>
      <c r="I277" s="88">
        <f>ROUND(SUM(I271:I276),2)</f>
        <v>0</v>
      </c>
      <c r="J277" s="280">
        <f t="shared" si="38"/>
        <v>0</v>
      </c>
      <c r="K277" s="280">
        <f t="shared" si="39"/>
        <v>0</v>
      </c>
      <c r="L277" s="280">
        <f t="shared" si="44"/>
        <v>0</v>
      </c>
    </row>
    <row r="278" spans="1:12" ht="16.5" thickBot="1" x14ac:dyDescent="0.3">
      <c r="A278" s="69" t="s">
        <v>2</v>
      </c>
      <c r="B278" s="69" t="s">
        <v>429</v>
      </c>
      <c r="C278" s="69" t="s">
        <v>430</v>
      </c>
      <c r="D278" s="85" t="s">
        <v>3</v>
      </c>
      <c r="E278" s="69" t="s">
        <v>4</v>
      </c>
      <c r="F278" s="69" t="s">
        <v>5</v>
      </c>
      <c r="G278" s="69" t="s">
        <v>6</v>
      </c>
      <c r="H278" s="69" t="s">
        <v>7</v>
      </c>
      <c r="I278" s="79" t="s">
        <v>8</v>
      </c>
      <c r="L278" s="280">
        <f t="shared" si="44"/>
        <v>0</v>
      </c>
    </row>
    <row r="279" spans="1:12" x14ac:dyDescent="0.25">
      <c r="A279" s="119">
        <v>23</v>
      </c>
      <c r="B279" s="118" t="s">
        <v>9</v>
      </c>
      <c r="C279" s="118">
        <v>270000</v>
      </c>
      <c r="D279" s="292" t="s">
        <v>42</v>
      </c>
      <c r="E279" s="292"/>
      <c r="F279" s="292"/>
      <c r="G279" s="292"/>
      <c r="H279" s="292"/>
      <c r="I279" s="293"/>
      <c r="J279" s="280">
        <f t="shared" si="38"/>
        <v>0</v>
      </c>
      <c r="K279" s="280">
        <f t="shared" si="39"/>
        <v>0</v>
      </c>
      <c r="L279" s="280">
        <f t="shared" si="44"/>
        <v>0</v>
      </c>
    </row>
    <row r="280" spans="1:12" ht="31.5" x14ac:dyDescent="0.25">
      <c r="A280" s="120" t="s">
        <v>335</v>
      </c>
      <c r="B280" s="99" t="s">
        <v>9</v>
      </c>
      <c r="C280" s="99">
        <v>270312</v>
      </c>
      <c r="D280" s="100" t="str">
        <f>'MEMÓRIA DE CÁLCULO'!B546</f>
        <v>MURO DE ALVENARIA TIJOLO FURADO 1/2 VEZ ( H=2,50M) COM FUNDAÇÃO - SEM REVESTIMENTOS (PADRÃO GOINFRA)</v>
      </c>
      <c r="E280" s="101">
        <f>'MEMÓRIA DE CÁLCULO'!D549</f>
        <v>148.72499999999999</v>
      </c>
      <c r="F280" s="99" t="s">
        <v>15</v>
      </c>
      <c r="G280" s="103"/>
      <c r="H280" s="103"/>
      <c r="I280" s="102">
        <f>(G280+H280)*E280</f>
        <v>0</v>
      </c>
      <c r="J280" s="280">
        <f>G280*E280</f>
        <v>0</v>
      </c>
      <c r="K280" s="280">
        <f t="shared" si="39"/>
        <v>0</v>
      </c>
      <c r="L280" s="280">
        <f t="shared" si="44"/>
        <v>0</v>
      </c>
    </row>
    <row r="281" spans="1:12" x14ac:dyDescent="0.25">
      <c r="A281" s="120" t="s">
        <v>336</v>
      </c>
      <c r="B281" s="99" t="s">
        <v>9</v>
      </c>
      <c r="C281" s="99">
        <v>270232</v>
      </c>
      <c r="D281" s="100" t="str">
        <f>'MEMÓRIA DE CÁLCULO'!B550</f>
        <v>PAVIMENTO INTERTRAVADO ESPESSURA DE 6CM E FCK = 35 MPA</v>
      </c>
      <c r="E281" s="101">
        <f>'MEMÓRIA DE CÁLCULO'!D552</f>
        <v>185</v>
      </c>
      <c r="F281" s="99" t="s">
        <v>15</v>
      </c>
      <c r="G281" s="103"/>
      <c r="H281" s="103"/>
      <c r="I281" s="102">
        <f t="shared" ref="I281:I286" si="46">(G281+H281)*E281</f>
        <v>0</v>
      </c>
      <c r="J281" s="280">
        <f t="shared" si="38"/>
        <v>0</v>
      </c>
      <c r="K281" s="280">
        <f t="shared" si="39"/>
        <v>0</v>
      </c>
      <c r="L281" s="280">
        <f t="shared" si="44"/>
        <v>0</v>
      </c>
    </row>
    <row r="282" spans="1:12" x14ac:dyDescent="0.25">
      <c r="A282" s="120" t="s">
        <v>337</v>
      </c>
      <c r="B282" s="99" t="s">
        <v>9</v>
      </c>
      <c r="C282" s="99">
        <v>270501</v>
      </c>
      <c r="D282" s="100" t="str">
        <f>'MEMÓRIA DE CÁLCULO'!B553</f>
        <v>LIMPEZA FINAL DE OBRA - (OBRAS CIVIS)</v>
      </c>
      <c r="E282" s="101">
        <f>'MEMÓRIA DE CÁLCULO'!D555</f>
        <v>253.79999999999998</v>
      </c>
      <c r="F282" s="99" t="s">
        <v>15</v>
      </c>
      <c r="G282" s="103"/>
      <c r="H282" s="103"/>
      <c r="I282" s="102">
        <f t="shared" si="46"/>
        <v>0</v>
      </c>
      <c r="J282" s="280">
        <f t="shared" si="38"/>
        <v>0</v>
      </c>
      <c r="K282" s="280">
        <f t="shared" si="39"/>
        <v>0</v>
      </c>
      <c r="L282" s="280">
        <f t="shared" si="44"/>
        <v>0</v>
      </c>
    </row>
    <row r="283" spans="1:12" ht="15.75" customHeight="1" x14ac:dyDescent="0.25">
      <c r="A283" s="120" t="s">
        <v>338</v>
      </c>
      <c r="B283" s="99" t="s">
        <v>9</v>
      </c>
      <c r="C283" s="99">
        <v>270810</v>
      </c>
      <c r="D283" s="100" t="str">
        <f>'MEMÓRIA DE CÁLCULO'!B556</f>
        <v>PLACA DE INAUGURACAO ACO ESCOVADO 80 X 60 CM</v>
      </c>
      <c r="E283" s="101">
        <f>'MEMÓRIA DE CÁLCULO'!D558</f>
        <v>0.48</v>
      </c>
      <c r="F283" s="99" t="s">
        <v>254</v>
      </c>
      <c r="G283" s="103"/>
      <c r="H283" s="103"/>
      <c r="I283" s="102">
        <f t="shared" si="46"/>
        <v>0</v>
      </c>
      <c r="J283" s="280">
        <f t="shared" si="38"/>
        <v>0</v>
      </c>
      <c r="K283" s="280">
        <f t="shared" si="39"/>
        <v>0</v>
      </c>
      <c r="L283" s="280">
        <f t="shared" si="44"/>
        <v>0</v>
      </c>
    </row>
    <row r="284" spans="1:12" ht="15.75" customHeight="1" x14ac:dyDescent="0.25">
      <c r="A284" s="120" t="s">
        <v>339</v>
      </c>
      <c r="B284" s="99" t="s">
        <v>9</v>
      </c>
      <c r="C284" s="99">
        <v>271605</v>
      </c>
      <c r="D284" s="100" t="str">
        <f>'MEMÓRIA DE CÁLCULO'!B559</f>
        <v>SUPORTE PARA BANCADA EM FERRO "T" 1/8" X 1 1/4"</v>
      </c>
      <c r="E284" s="101">
        <f>'MEMÓRIA DE CÁLCULO'!D561</f>
        <v>3</v>
      </c>
      <c r="F284" s="99" t="s">
        <v>378</v>
      </c>
      <c r="G284" s="103"/>
      <c r="H284" s="103"/>
      <c r="I284" s="102">
        <f t="shared" si="46"/>
        <v>0</v>
      </c>
      <c r="J284" s="280">
        <f t="shared" si="38"/>
        <v>0</v>
      </c>
      <c r="K284" s="280">
        <f t="shared" si="39"/>
        <v>0</v>
      </c>
      <c r="L284" s="280">
        <f t="shared" si="44"/>
        <v>0</v>
      </c>
    </row>
    <row r="285" spans="1:12" x14ac:dyDescent="0.25">
      <c r="A285" s="120" t="s">
        <v>340</v>
      </c>
      <c r="B285" s="99" t="s">
        <v>9</v>
      </c>
      <c r="C285" s="99">
        <v>271608</v>
      </c>
      <c r="D285" s="100" t="str">
        <f>'MEMÓRIA DE CÁLCULO'!B562</f>
        <v>BANCADA DE GRANITO C/ESPELHO</v>
      </c>
      <c r="E285" s="101">
        <f>'MEMÓRIA DE CÁLCULO'!D564</f>
        <v>0.6</v>
      </c>
      <c r="F285" s="99" t="s">
        <v>15</v>
      </c>
      <c r="G285" s="103"/>
      <c r="H285" s="103"/>
      <c r="I285" s="102">
        <f t="shared" si="46"/>
        <v>0</v>
      </c>
      <c r="J285" s="280">
        <f t="shared" si="38"/>
        <v>0</v>
      </c>
      <c r="K285" s="280">
        <f t="shared" si="39"/>
        <v>0</v>
      </c>
      <c r="L285" s="280">
        <f t="shared" si="44"/>
        <v>0</v>
      </c>
    </row>
    <row r="286" spans="1:12" ht="16.5" thickBot="1" x14ac:dyDescent="0.3">
      <c r="A286" s="120" t="s">
        <v>341</v>
      </c>
      <c r="B286" s="99" t="s">
        <v>9</v>
      </c>
      <c r="C286" s="99">
        <v>271851</v>
      </c>
      <c r="D286" s="100" t="str">
        <f>'MEMÓRIA DE CÁLCULO'!B565</f>
        <v>LETRA CAIXA INOX COLOCADA</v>
      </c>
      <c r="E286" s="101">
        <f>'MEMÓRIA DE CÁLCULO'!D567</f>
        <v>6.8999999999999995</v>
      </c>
      <c r="F286" s="99" t="s">
        <v>130</v>
      </c>
      <c r="G286" s="103"/>
      <c r="H286" s="103"/>
      <c r="I286" s="102">
        <f t="shared" si="46"/>
        <v>0</v>
      </c>
      <c r="J286" s="280">
        <f t="shared" si="38"/>
        <v>0</v>
      </c>
      <c r="K286" s="280">
        <f t="shared" si="39"/>
        <v>0</v>
      </c>
      <c r="L286" s="280">
        <f t="shared" si="44"/>
        <v>0</v>
      </c>
    </row>
    <row r="287" spans="1:12" ht="16.5" thickBot="1" x14ac:dyDescent="0.3">
      <c r="A287" s="289" t="s">
        <v>439</v>
      </c>
      <c r="B287" s="290"/>
      <c r="C287" s="290"/>
      <c r="D287" s="290"/>
      <c r="E287" s="290"/>
      <c r="F287" s="290"/>
      <c r="G287" s="290"/>
      <c r="H287" s="290"/>
      <c r="I287" s="88">
        <f>ROUND(SUM(I280:I286),2)</f>
        <v>0</v>
      </c>
    </row>
    <row r="288" spans="1:12" customFormat="1" thickBot="1" x14ac:dyDescent="0.3">
      <c r="A288" s="17"/>
      <c r="B288" s="18"/>
      <c r="C288" s="18"/>
      <c r="D288" s="4"/>
      <c r="E288" s="6"/>
      <c r="F288" s="44"/>
      <c r="G288" s="19"/>
      <c r="H288" s="20"/>
      <c r="I288" s="91"/>
      <c r="J288" s="284"/>
      <c r="K288" s="284"/>
      <c r="L288" s="282"/>
    </row>
    <row r="289" spans="1:12" customFormat="1" ht="16.5" thickBot="1" x14ac:dyDescent="0.3">
      <c r="A289" s="289" t="s">
        <v>441</v>
      </c>
      <c r="B289" s="290"/>
      <c r="C289" s="290"/>
      <c r="D289" s="290"/>
      <c r="E289" s="290"/>
      <c r="F289" s="290"/>
      <c r="G289" s="290"/>
      <c r="H289" s="290"/>
      <c r="I289" s="88">
        <f>ROUND(SUM(K1:K881),2)</f>
        <v>0</v>
      </c>
      <c r="J289" s="284"/>
      <c r="K289" s="284"/>
      <c r="L289" s="282"/>
    </row>
    <row r="290" spans="1:12" customFormat="1" ht="16.5" thickBot="1" x14ac:dyDescent="0.3">
      <c r="A290" s="289" t="s">
        <v>442</v>
      </c>
      <c r="B290" s="290"/>
      <c r="C290" s="290"/>
      <c r="D290" s="290"/>
      <c r="E290" s="290"/>
      <c r="F290" s="290"/>
      <c r="G290" s="290"/>
      <c r="H290" s="290"/>
      <c r="I290" s="88">
        <f>I291-I289</f>
        <v>0</v>
      </c>
      <c r="J290" s="284"/>
      <c r="K290" s="284"/>
      <c r="L290" s="282"/>
    </row>
    <row r="291" spans="1:12" customFormat="1" ht="16.5" thickBot="1" x14ac:dyDescent="0.3">
      <c r="A291" s="289" t="s">
        <v>443</v>
      </c>
      <c r="B291" s="290"/>
      <c r="C291" s="290"/>
      <c r="D291" s="290"/>
      <c r="E291" s="290"/>
      <c r="F291" s="290"/>
      <c r="G291" s="290"/>
      <c r="H291" s="290"/>
      <c r="I291" s="88">
        <f>SUM(I21,I26,I33,I45,I57,I93,I186,I195,I204,I213,I220,I224,I230,I234,I241,I246,I256,I264,I268,I277,I287,I199)</f>
        <v>0</v>
      </c>
      <c r="J291" s="284"/>
      <c r="K291" s="284"/>
      <c r="L291" s="282"/>
    </row>
    <row r="292" spans="1:12" customFormat="1" ht="16.5" thickBot="1" x14ac:dyDescent="0.3">
      <c r="A292" s="289" t="s">
        <v>782</v>
      </c>
      <c r="B292" s="290"/>
      <c r="C292" s="290"/>
      <c r="D292" s="290"/>
      <c r="E292" s="290"/>
      <c r="F292" s="290"/>
      <c r="G292" s="290"/>
      <c r="H292" s="290"/>
      <c r="I292" s="88">
        <f>0.263*I291</f>
        <v>0</v>
      </c>
      <c r="J292" s="284"/>
      <c r="K292" s="284"/>
      <c r="L292" s="282"/>
    </row>
    <row r="293" spans="1:12" customFormat="1" ht="16.5" thickBot="1" x14ac:dyDescent="0.3">
      <c r="A293" s="289" t="s">
        <v>444</v>
      </c>
      <c r="B293" s="290"/>
      <c r="C293" s="290"/>
      <c r="D293" s="290"/>
      <c r="E293" s="290"/>
      <c r="F293" s="290"/>
      <c r="G293" s="290"/>
      <c r="H293" s="290"/>
      <c r="I293" s="88">
        <f>I292+I291</f>
        <v>0</v>
      </c>
      <c r="J293" s="284"/>
      <c r="K293" s="284"/>
      <c r="L293" s="282"/>
    </row>
    <row r="294" spans="1:12" customFormat="1" ht="15" x14ac:dyDescent="0.25">
      <c r="A294" s="18"/>
      <c r="B294" s="18"/>
      <c r="C294" s="22"/>
      <c r="D294" s="2"/>
      <c r="E294" s="1"/>
      <c r="F294" s="45"/>
      <c r="G294" s="24"/>
      <c r="H294" s="25"/>
      <c r="I294" s="92"/>
      <c r="J294" s="284"/>
      <c r="K294" s="284"/>
      <c r="L294" s="282"/>
    </row>
    <row r="295" spans="1:12" customFormat="1" ht="15" x14ac:dyDescent="0.25">
      <c r="A295" s="263"/>
      <c r="B295" s="263"/>
      <c r="C295" s="22"/>
      <c r="D295" s="2"/>
      <c r="E295" s="1"/>
      <c r="F295" s="45"/>
      <c r="G295" s="24"/>
      <c r="H295" s="25"/>
      <c r="I295" s="92"/>
      <c r="J295" s="284"/>
      <c r="K295" s="284"/>
      <c r="L295" s="282"/>
    </row>
    <row r="296" spans="1:12" customFormat="1" ht="15" x14ac:dyDescent="0.25">
      <c r="A296" s="291" t="s">
        <v>445</v>
      </c>
      <c r="B296" s="291"/>
      <c r="C296" s="22"/>
      <c r="D296" s="2"/>
      <c r="E296" s="1"/>
      <c r="F296" s="45"/>
      <c r="G296" s="24"/>
      <c r="H296" s="25"/>
      <c r="I296" s="92"/>
      <c r="J296" s="284"/>
      <c r="K296" s="284"/>
      <c r="L296" s="282"/>
    </row>
    <row r="297" spans="1:12" customFormat="1" ht="15" x14ac:dyDescent="0.25">
      <c r="A297" s="263"/>
      <c r="B297" s="263"/>
      <c r="C297" s="22"/>
      <c r="D297" s="2"/>
      <c r="E297" s="1"/>
      <c r="F297" s="45"/>
      <c r="G297" s="24"/>
      <c r="H297" s="25"/>
      <c r="I297" s="92"/>
      <c r="J297" s="284"/>
      <c r="K297" s="284"/>
      <c r="L297" s="282"/>
    </row>
    <row r="298" spans="1:12" customFormat="1" ht="15" x14ac:dyDescent="0.25">
      <c r="A298" s="263"/>
      <c r="B298" s="263"/>
      <c r="C298" s="22"/>
      <c r="D298" s="2"/>
      <c r="E298" s="1"/>
      <c r="F298" s="45"/>
      <c r="G298" s="24"/>
      <c r="H298" s="25"/>
      <c r="I298" s="92"/>
      <c r="J298" s="284"/>
      <c r="K298" s="284"/>
      <c r="L298" s="282"/>
    </row>
    <row r="299" spans="1:12" customFormat="1" ht="15" x14ac:dyDescent="0.25">
      <c r="A299" s="263"/>
      <c r="B299" s="263"/>
      <c r="C299" s="22"/>
      <c r="D299" s="2"/>
      <c r="E299" s="1"/>
      <c r="F299" s="45"/>
      <c r="G299" s="24"/>
      <c r="H299" s="25"/>
      <c r="I299" s="92"/>
      <c r="J299" s="284"/>
      <c r="K299" s="284"/>
      <c r="L299" s="282"/>
    </row>
    <row r="300" spans="1:12" customFormat="1" ht="15" x14ac:dyDescent="0.25">
      <c r="A300" s="263"/>
      <c r="B300" s="263"/>
      <c r="C300" s="22" t="s">
        <v>372</v>
      </c>
      <c r="D300" s="2"/>
      <c r="E300" s="1"/>
      <c r="F300" s="45" t="s">
        <v>372</v>
      </c>
      <c r="G300" s="1"/>
      <c r="H300" s="25"/>
      <c r="I300" s="92"/>
      <c r="J300" s="284"/>
      <c r="K300" s="284"/>
      <c r="L300" s="282"/>
    </row>
    <row r="301" spans="1:12" customFormat="1" ht="15" x14ac:dyDescent="0.25">
      <c r="A301" s="263"/>
      <c r="B301" s="263"/>
      <c r="C301" s="43" t="s">
        <v>373</v>
      </c>
      <c r="D301" s="2"/>
      <c r="E301" s="1"/>
      <c r="F301" s="46" t="s">
        <v>780</v>
      </c>
      <c r="G301" s="26"/>
      <c r="H301" s="25"/>
      <c r="I301" s="92"/>
      <c r="J301" s="284"/>
      <c r="K301" s="284"/>
      <c r="L301" s="282"/>
    </row>
    <row r="302" spans="1:12" customFormat="1" ht="15" x14ac:dyDescent="0.25">
      <c r="A302" s="26"/>
      <c r="B302" s="43"/>
      <c r="C302" s="93" t="s">
        <v>374</v>
      </c>
      <c r="D302" s="94"/>
      <c r="E302" s="95"/>
      <c r="F302" s="96" t="s">
        <v>375</v>
      </c>
      <c r="G302" s="97"/>
      <c r="H302" s="28"/>
      <c r="I302" s="29"/>
      <c r="J302" s="284"/>
      <c r="K302" s="284"/>
      <c r="L302" s="282"/>
    </row>
    <row r="303" spans="1:12" customFormat="1" ht="15" x14ac:dyDescent="0.25">
      <c r="A303" s="263"/>
      <c r="B303" s="43"/>
      <c r="C303" s="93" t="s">
        <v>376</v>
      </c>
      <c r="D303" s="94"/>
      <c r="E303" s="95"/>
      <c r="F303" s="96" t="s">
        <v>781</v>
      </c>
      <c r="G303" s="97"/>
      <c r="H303" s="28"/>
      <c r="I303" s="29"/>
      <c r="J303" s="284"/>
      <c r="K303" s="284"/>
      <c r="L303" s="282"/>
    </row>
    <row r="304" spans="1:12" customFormat="1" ht="15" x14ac:dyDescent="0.25">
      <c r="A304" s="263"/>
      <c r="B304" s="43"/>
      <c r="C304" s="93"/>
      <c r="D304" s="94"/>
      <c r="E304" s="95"/>
      <c r="F304" s="96"/>
      <c r="G304" s="97"/>
      <c r="H304" s="28"/>
      <c r="I304" s="29"/>
      <c r="J304" s="284"/>
      <c r="K304" s="284"/>
      <c r="L304" s="282"/>
    </row>
    <row r="305" spans="1:12" customFormat="1" ht="15" x14ac:dyDescent="0.25">
      <c r="A305" s="263"/>
      <c r="B305" s="43"/>
      <c r="C305" s="22"/>
      <c r="D305" s="2"/>
      <c r="E305" s="1"/>
      <c r="F305" s="45"/>
      <c r="G305" s="25"/>
      <c r="H305" s="28"/>
      <c r="I305" s="29"/>
      <c r="J305" s="284"/>
      <c r="K305" s="284"/>
      <c r="L305" s="282"/>
    </row>
    <row r="306" spans="1:12" customFormat="1" ht="15" x14ac:dyDescent="0.25">
      <c r="A306" s="263"/>
      <c r="B306" s="43"/>
      <c r="C306" s="22"/>
      <c r="D306" s="2"/>
      <c r="E306" s="1"/>
      <c r="F306" s="45"/>
      <c r="G306" s="1"/>
      <c r="H306" s="28"/>
      <c r="I306" s="29"/>
      <c r="J306" s="284"/>
      <c r="K306" s="284"/>
      <c r="L306" s="282"/>
    </row>
    <row r="307" spans="1:12" customFormat="1" ht="15" x14ac:dyDescent="0.25">
      <c r="A307" s="26" t="s">
        <v>342</v>
      </c>
      <c r="B307" s="43"/>
      <c r="C307" s="43"/>
      <c r="D307" s="2"/>
      <c r="E307" s="1"/>
      <c r="F307" s="46"/>
      <c r="G307" s="67"/>
      <c r="H307" s="28"/>
      <c r="I307" s="29"/>
      <c r="J307" s="284"/>
      <c r="K307" s="284"/>
      <c r="L307" s="282"/>
    </row>
    <row r="308" spans="1:12" customFormat="1" ht="15" x14ac:dyDescent="0.25">
      <c r="A308" s="26"/>
      <c r="B308" s="43"/>
      <c r="C308" s="43"/>
      <c r="D308" s="2"/>
      <c r="E308" s="1"/>
      <c r="F308" s="46"/>
      <c r="G308" s="26"/>
      <c r="H308" s="26"/>
      <c r="I308" s="29"/>
      <c r="J308" s="284"/>
      <c r="K308" s="284"/>
      <c r="L308" s="282"/>
    </row>
    <row r="309" spans="1:12" customFormat="1" ht="15" x14ac:dyDescent="0.25">
      <c r="A309" s="26"/>
      <c r="B309" s="43"/>
      <c r="C309" s="43"/>
      <c r="D309" s="54"/>
      <c r="E309" s="26"/>
      <c r="F309" s="46"/>
      <c r="G309" s="26"/>
      <c r="H309" s="26"/>
      <c r="I309" s="29"/>
      <c r="J309" s="284"/>
      <c r="K309" s="284"/>
      <c r="L309" s="282"/>
    </row>
    <row r="310" spans="1:12" customFormat="1" ht="15" x14ac:dyDescent="0.25">
      <c r="A310" s="263"/>
      <c r="B310" s="43"/>
      <c r="C310" s="263"/>
      <c r="D310" s="2"/>
      <c r="E310" s="1"/>
      <c r="F310" s="45"/>
      <c r="G310" s="25"/>
      <c r="H310" s="28"/>
      <c r="I310" s="29"/>
      <c r="J310" s="284"/>
      <c r="K310" s="284"/>
      <c r="L310" s="282"/>
    </row>
    <row r="311" spans="1:12" customFormat="1" ht="15" x14ac:dyDescent="0.25">
      <c r="A311" s="263"/>
      <c r="B311" s="43"/>
      <c r="C311" s="263"/>
      <c r="D311" s="2"/>
      <c r="E311" s="1"/>
      <c r="F311" s="45"/>
      <c r="G311" s="25"/>
      <c r="H311" s="28"/>
      <c r="I311" s="29"/>
      <c r="J311" s="284"/>
      <c r="K311" s="284"/>
      <c r="L311" s="282"/>
    </row>
    <row r="312" spans="1:12" customFormat="1" ht="15" x14ac:dyDescent="0.25">
      <c r="A312" s="263"/>
      <c r="B312" s="43"/>
      <c r="C312" s="263"/>
      <c r="D312" s="2"/>
      <c r="E312" s="1"/>
      <c r="F312" s="45"/>
      <c r="G312" s="1"/>
      <c r="H312" s="28"/>
      <c r="I312" s="29"/>
      <c r="J312" s="284"/>
      <c r="K312" s="284"/>
      <c r="L312" s="282"/>
    </row>
    <row r="313" spans="1:12" customFormat="1" ht="15" x14ac:dyDescent="0.25">
      <c r="A313" s="26" t="s">
        <v>342</v>
      </c>
      <c r="B313" s="43"/>
      <c r="C313" s="43"/>
      <c r="D313" s="2"/>
      <c r="E313" s="1"/>
      <c r="F313" s="47"/>
      <c r="G313" s="67"/>
      <c r="H313" s="28"/>
      <c r="I313" s="29"/>
      <c r="J313" s="284"/>
      <c r="K313" s="284"/>
      <c r="L313" s="282"/>
    </row>
    <row r="314" spans="1:12" x14ac:dyDescent="0.25">
      <c r="A314" s="275"/>
      <c r="B314" s="275"/>
      <c r="C314" s="275"/>
    </row>
    <row r="315" spans="1:12" x14ac:dyDescent="0.25">
      <c r="A315" s="275"/>
      <c r="B315" s="275"/>
      <c r="C315" s="275"/>
    </row>
    <row r="316" spans="1:12" x14ac:dyDescent="0.25">
      <c r="A316" s="275"/>
      <c r="B316" s="275"/>
      <c r="C316" s="275"/>
    </row>
    <row r="317" spans="1:12" x14ac:dyDescent="0.25">
      <c r="A317" s="275"/>
      <c r="B317" s="275"/>
      <c r="C317" s="275"/>
    </row>
    <row r="318" spans="1:12" x14ac:dyDescent="0.25">
      <c r="A318" s="275"/>
      <c r="B318" s="275"/>
      <c r="C318" s="275"/>
    </row>
    <row r="319" spans="1:12" x14ac:dyDescent="0.25">
      <c r="A319" s="275"/>
      <c r="B319" s="275"/>
      <c r="C319" s="275"/>
    </row>
  </sheetData>
  <sheetProtection selectLockedCells="1"/>
  <mergeCells count="54">
    <mergeCell ref="A26:H26"/>
    <mergeCell ref="D28:I28"/>
    <mergeCell ref="A230:H230"/>
    <mergeCell ref="A234:H234"/>
    <mergeCell ref="A241:H241"/>
    <mergeCell ref="D35:I35"/>
    <mergeCell ref="D47:I47"/>
    <mergeCell ref="A33:H33"/>
    <mergeCell ref="A45:H45"/>
    <mergeCell ref="A208:H208"/>
    <mergeCell ref="C1:I1"/>
    <mergeCell ref="C2:I2"/>
    <mergeCell ref="A21:H21"/>
    <mergeCell ref="D13:I13"/>
    <mergeCell ref="D23:I23"/>
    <mergeCell ref="G15:H15"/>
    <mergeCell ref="A287:H287"/>
    <mergeCell ref="A289:H289"/>
    <mergeCell ref="A290:H290"/>
    <mergeCell ref="A292:H292"/>
    <mergeCell ref="A57:H57"/>
    <mergeCell ref="A93:H93"/>
    <mergeCell ref="A186:H186"/>
    <mergeCell ref="A195:H195"/>
    <mergeCell ref="A199:H199"/>
    <mergeCell ref="A204:H204"/>
    <mergeCell ref="A213:H213"/>
    <mergeCell ref="A220:H220"/>
    <mergeCell ref="A224:H224"/>
    <mergeCell ref="A291:H291"/>
    <mergeCell ref="D266:I266"/>
    <mergeCell ref="D270:I270"/>
    <mergeCell ref="D279:I279"/>
    <mergeCell ref="A246:H246"/>
    <mergeCell ref="A256:H256"/>
    <mergeCell ref="A264:H264"/>
    <mergeCell ref="A277:H277"/>
    <mergeCell ref="A268:H268"/>
    <mergeCell ref="A293:H293"/>
    <mergeCell ref="A296:B296"/>
    <mergeCell ref="D59:I59"/>
    <mergeCell ref="D95:I95"/>
    <mergeCell ref="D188:I188"/>
    <mergeCell ref="D197:I197"/>
    <mergeCell ref="D201:I201"/>
    <mergeCell ref="D210:I210"/>
    <mergeCell ref="D215:I215"/>
    <mergeCell ref="D222:I222"/>
    <mergeCell ref="D226:I226"/>
    <mergeCell ref="D232:I232"/>
    <mergeCell ref="D236:I236"/>
    <mergeCell ref="D243:I243"/>
    <mergeCell ref="D248:I248"/>
    <mergeCell ref="D258:I258"/>
  </mergeCells>
  <phoneticPr fontId="13" type="noConversion"/>
  <pageMargins left="0.70866141732283472" right="0.70866141732283472" top="0.59055118110236227" bottom="0.59055118110236227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7"/>
  <sheetViews>
    <sheetView showGridLines="0" topLeftCell="A555" zoomScale="130" zoomScaleNormal="130" workbookViewId="0">
      <selection activeCell="B578" sqref="B578"/>
    </sheetView>
  </sheetViews>
  <sheetFormatPr defaultColWidth="8.85546875" defaultRowHeight="15" x14ac:dyDescent="0.25"/>
  <cols>
    <col min="1" max="1" width="11.42578125" style="15" customWidth="1"/>
    <col min="2" max="2" width="76.85546875" style="16" bestFit="1" customWidth="1"/>
    <col min="3" max="3" width="8.7109375" style="158" customWidth="1"/>
    <col min="4" max="4" width="39.140625" style="14" customWidth="1"/>
    <col min="6" max="16384" width="8.85546875" style="7"/>
  </cols>
  <sheetData>
    <row r="1" spans="1:5" x14ac:dyDescent="0.25">
      <c r="A1" s="301" t="str">
        <f>ORÇAMENTO!C1</f>
        <v>PREFEITURA MUNICIPAL DE CATALÃO</v>
      </c>
      <c r="B1" s="302"/>
      <c r="C1" s="303"/>
      <c r="D1" s="193"/>
    </row>
    <row r="2" spans="1:5" x14ac:dyDescent="0.25">
      <c r="A2" s="304" t="s">
        <v>456</v>
      </c>
      <c r="B2" s="305"/>
      <c r="C2" s="306"/>
      <c r="D2" s="194"/>
    </row>
    <row r="3" spans="1:5" x14ac:dyDescent="0.25">
      <c r="A3" s="147" t="str">
        <f>ORÇAMENTO!C3</f>
        <v>SETOR</v>
      </c>
      <c r="B3" s="191" t="str">
        <f>ORÇAMENTO!D3</f>
        <v>SECRETARIA MUNICIPAL DE OBRAS</v>
      </c>
      <c r="C3" s="150"/>
      <c r="D3" s="195"/>
    </row>
    <row r="4" spans="1:5" x14ac:dyDescent="0.25">
      <c r="A4" s="147" t="str">
        <f>ORÇAMENTO!C4</f>
        <v>OBJETO</v>
      </c>
      <c r="B4" s="191" t="str">
        <f>ORÇAMENTO!D4</f>
        <v>CONSTRUÇÃO DA SEDE DA ASSOCIAÇÃO DO TRUCO EM CATALÃO/GO</v>
      </c>
      <c r="C4" s="150"/>
      <c r="D4" s="195"/>
    </row>
    <row r="5" spans="1:5" x14ac:dyDescent="0.25">
      <c r="A5" s="147" t="str">
        <f>ORÇAMENTO!C5</f>
        <v>PROCESSO</v>
      </c>
      <c r="B5" s="192">
        <f>ORÇAMENTO!D5</f>
        <v>2021005210</v>
      </c>
      <c r="C5" s="150"/>
      <c r="D5" s="195"/>
    </row>
    <row r="6" spans="1:5" x14ac:dyDescent="0.25">
      <c r="A6" s="147" t="str">
        <f>ORÇAMENTO!C6</f>
        <v>ENDEREÇO</v>
      </c>
      <c r="B6" s="191" t="str">
        <f>ORÇAMENTO!D6</f>
        <v>AV. MANDAGUARI ESQ. RUA M2, APM-1, LOTEAMENTO PORTAL DO LAGO 2</v>
      </c>
      <c r="C6" s="150"/>
      <c r="D6" s="195"/>
    </row>
    <row r="7" spans="1:5" ht="30" x14ac:dyDescent="0.25">
      <c r="A7" s="147" t="str">
        <f>ORÇAMENTO!C7</f>
        <v>TABELAS</v>
      </c>
      <c r="B7" s="232" t="str">
        <f>ORÇAMENTO!D7</f>
        <v>TABELA GOINFRA 142 - CUSTOS DE OBRAS CIVIS - NOVEMBRO/2020 - DESONERADA - DATA BASE: 01/11/2020</v>
      </c>
      <c r="C7" s="150"/>
      <c r="D7" s="195"/>
    </row>
    <row r="8" spans="1:5" ht="30" x14ac:dyDescent="0.25">
      <c r="A8" s="147"/>
      <c r="B8" s="232" t="str">
        <f>ORÇAMENTO!D8</f>
        <v>TABELA SINAPI PCI.817.01 - CUSTO DE COMPOSIÇÕES - SINTÉTITICO - NOVEMBRO/2020 - COM DESONERAÇÃO - DATA BASE: 15/12/2020</v>
      </c>
      <c r="C8" s="150"/>
      <c r="D8" s="195"/>
    </row>
    <row r="9" spans="1:5" ht="15" customHeight="1" thickBot="1" x14ac:dyDescent="0.3">
      <c r="A9" s="148" t="str">
        <f>ORÇAMENTO!C9</f>
        <v xml:space="preserve">DATA </v>
      </c>
      <c r="B9" s="197" t="str">
        <f>ORÇAMENTO!D9</f>
        <v>6 DE JANEIRO DE 2021</v>
      </c>
      <c r="C9" s="151"/>
      <c r="D9" s="196"/>
    </row>
    <row r="10" spans="1:5" ht="15.75" thickBot="1" x14ac:dyDescent="0.3">
      <c r="A10" s="149"/>
      <c r="B10" s="149"/>
      <c r="C10" s="151"/>
      <c r="D10" s="151"/>
    </row>
    <row r="11" spans="1:5" ht="15.75" thickBot="1" x14ac:dyDescent="0.3">
      <c r="A11" s="155">
        <v>1</v>
      </c>
      <c r="B11" s="159" t="s">
        <v>10</v>
      </c>
      <c r="C11" s="160"/>
      <c r="D11" s="160"/>
      <c r="E11" s="7"/>
    </row>
    <row r="12" spans="1:5" ht="15.75" thickBot="1" x14ac:dyDescent="0.3">
      <c r="A12" s="174" t="s">
        <v>2</v>
      </c>
      <c r="B12" s="174" t="s">
        <v>446</v>
      </c>
      <c r="C12" s="174" t="s">
        <v>447</v>
      </c>
      <c r="D12" s="174" t="s">
        <v>448</v>
      </c>
      <c r="E12" s="7"/>
    </row>
    <row r="13" spans="1:5" x14ac:dyDescent="0.25">
      <c r="A13" s="168" t="str">
        <f>ORÇAMENTO!A14</f>
        <v>1.1</v>
      </c>
      <c r="B13" s="169" t="str">
        <f>ORÇAMENTO!D14</f>
        <v xml:space="preserve"> LIMPEZA MECANICA DE TERRENO </v>
      </c>
      <c r="C13" s="168" t="s">
        <v>254</v>
      </c>
      <c r="D13" s="173" t="s">
        <v>449</v>
      </c>
      <c r="E13" s="7"/>
    </row>
    <row r="14" spans="1:5" x14ac:dyDescent="0.25">
      <c r="A14" s="163"/>
      <c r="B14" s="164" t="s">
        <v>61</v>
      </c>
      <c r="C14" s="163" t="s">
        <v>130</v>
      </c>
      <c r="D14" s="170">
        <v>18.5</v>
      </c>
      <c r="E14" s="7"/>
    </row>
    <row r="15" spans="1:5" x14ac:dyDescent="0.25">
      <c r="A15" s="163"/>
      <c r="B15" s="164" t="s">
        <v>54</v>
      </c>
      <c r="C15" s="163" t="s">
        <v>130</v>
      </c>
      <c r="D15" s="170">
        <v>31</v>
      </c>
      <c r="E15" s="7"/>
    </row>
    <row r="16" spans="1:5" ht="15.75" thickBot="1" x14ac:dyDescent="0.3">
      <c r="A16" s="307" t="s">
        <v>43</v>
      </c>
      <c r="B16" s="308"/>
      <c r="C16" s="309"/>
      <c r="D16" s="171">
        <f>D14*D15</f>
        <v>573.5</v>
      </c>
      <c r="E16" s="7"/>
    </row>
    <row r="17" spans="1:5" ht="30" x14ac:dyDescent="0.25">
      <c r="A17" s="168" t="str">
        <f>ORÇAMENTO!A15</f>
        <v>1.2</v>
      </c>
      <c r="B17" s="169" t="str">
        <f>ORÇAMENTO!D15</f>
        <v>LOCACAO DE CONTAINER 2,30 X 6,00 M, ALT. 2,50 M, PARA ESCRITORIO, SEM DIVISORIAS INTERNAS E SEM SANITARIO</v>
      </c>
      <c r="C17" s="168" t="s">
        <v>53</v>
      </c>
      <c r="D17" s="198" t="s">
        <v>450</v>
      </c>
      <c r="E17" s="7"/>
    </row>
    <row r="18" spans="1:5" x14ac:dyDescent="0.25">
      <c r="A18" s="163"/>
      <c r="B18" s="166" t="s">
        <v>52</v>
      </c>
      <c r="C18" s="167" t="s">
        <v>53</v>
      </c>
      <c r="D18" s="172">
        <v>6</v>
      </c>
      <c r="E18" s="7"/>
    </row>
    <row r="19" spans="1:5" ht="15" customHeight="1" thickBot="1" x14ac:dyDescent="0.3">
      <c r="A19" s="307" t="s">
        <v>43</v>
      </c>
      <c r="B19" s="308"/>
      <c r="C19" s="309"/>
      <c r="D19" s="171">
        <f>D18</f>
        <v>6</v>
      </c>
      <c r="E19" s="7"/>
    </row>
    <row r="20" spans="1:5" ht="30" x14ac:dyDescent="0.25">
      <c r="A20" s="161" t="s">
        <v>14</v>
      </c>
      <c r="B20" s="162" t="str">
        <f>ORÇAMENTO!D16</f>
        <v xml:space="preserve"> LOCAÇÃO DA OBRA, EXECUÇÃO DE GABARITO SEM REAPROVEITAMENTO, INCLUSO PINTURA (FACE INTERNA DO RIPÃO 15CM) E PIQUETE COM TESTEMUNHA </v>
      </c>
      <c r="C20" s="165" t="s">
        <v>254</v>
      </c>
      <c r="D20" s="167" t="s">
        <v>457</v>
      </c>
      <c r="E20" s="7"/>
    </row>
    <row r="21" spans="1:5" x14ac:dyDescent="0.25">
      <c r="A21" s="161"/>
      <c r="B21" s="164" t="s">
        <v>61</v>
      </c>
      <c r="C21" s="163" t="s">
        <v>130</v>
      </c>
      <c r="D21" s="170">
        <v>12</v>
      </c>
      <c r="E21" s="7"/>
    </row>
    <row r="22" spans="1:5" x14ac:dyDescent="0.25">
      <c r="A22" s="163"/>
      <c r="B22" s="164" t="s">
        <v>54</v>
      </c>
      <c r="C22" s="163" t="s">
        <v>130</v>
      </c>
      <c r="D22" s="170">
        <v>21.15</v>
      </c>
      <c r="E22" s="7"/>
    </row>
    <row r="23" spans="1:5" ht="15" customHeight="1" thickBot="1" x14ac:dyDescent="0.3">
      <c r="A23" s="307" t="s">
        <v>43</v>
      </c>
      <c r="B23" s="308"/>
      <c r="C23" s="309"/>
      <c r="D23" s="171">
        <f>D22*D21</f>
        <v>253.79999999999998</v>
      </c>
      <c r="E23" s="7"/>
    </row>
    <row r="24" spans="1:5" ht="30" x14ac:dyDescent="0.25">
      <c r="A24" s="161" t="s">
        <v>16</v>
      </c>
      <c r="B24" s="162" t="str">
        <f>ORÇAMENTO!D17</f>
        <v xml:space="preserve">PLACA DE OBRA PLOTADA EM CHAPA METÁLICA 26 , AFIXADA EM CAVALETES DE MADEIRA DE LEI (VIGOTAS 6X12CM) - PADRÃO GOINFRA </v>
      </c>
      <c r="C24" s="165" t="s">
        <v>254</v>
      </c>
      <c r="D24" s="167" t="s">
        <v>458</v>
      </c>
      <c r="E24" s="7"/>
    </row>
    <row r="25" spans="1:5" x14ac:dyDescent="0.25">
      <c r="A25" s="161"/>
      <c r="B25" s="166" t="s">
        <v>61</v>
      </c>
      <c r="C25" s="167" t="s">
        <v>130</v>
      </c>
      <c r="D25" s="172">
        <v>2</v>
      </c>
      <c r="E25" s="7"/>
    </row>
    <row r="26" spans="1:5" x14ac:dyDescent="0.25">
      <c r="A26" s="163"/>
      <c r="B26" s="166" t="s">
        <v>62</v>
      </c>
      <c r="C26" s="167" t="s">
        <v>130</v>
      </c>
      <c r="D26" s="172">
        <v>1.5</v>
      </c>
      <c r="E26" s="7"/>
    </row>
    <row r="27" spans="1:5" ht="15.75" thickBot="1" x14ac:dyDescent="0.3">
      <c r="A27" s="307" t="s">
        <v>43</v>
      </c>
      <c r="B27" s="308"/>
      <c r="C27" s="309"/>
      <c r="D27" s="171">
        <f>D26*D25</f>
        <v>3</v>
      </c>
      <c r="E27" s="7"/>
    </row>
    <row r="28" spans="1:5" ht="30" customHeight="1" x14ac:dyDescent="0.25">
      <c r="A28" s="161" t="s">
        <v>17</v>
      </c>
      <c r="B28" s="162" t="s">
        <v>459</v>
      </c>
      <c r="C28" s="165" t="s">
        <v>66</v>
      </c>
      <c r="D28" s="167" t="s">
        <v>460</v>
      </c>
      <c r="E28" s="7"/>
    </row>
    <row r="29" spans="1:5" x14ac:dyDescent="0.25">
      <c r="A29" s="163"/>
      <c r="B29" s="166" t="s">
        <v>461</v>
      </c>
      <c r="C29" s="167" t="s">
        <v>462</v>
      </c>
      <c r="D29" s="203">
        <v>0.46279999999999999</v>
      </c>
      <c r="E29" s="7"/>
    </row>
    <row r="30" spans="1:5" x14ac:dyDescent="0.25">
      <c r="A30" s="199"/>
      <c r="B30" s="166" t="s">
        <v>785</v>
      </c>
      <c r="C30" s="201" t="s">
        <v>254</v>
      </c>
      <c r="D30" s="202">
        <f>D23</f>
        <v>253.79999999999998</v>
      </c>
      <c r="E30" s="7"/>
    </row>
    <row r="31" spans="1:5" ht="15.75" thickBot="1" x14ac:dyDescent="0.3">
      <c r="A31" s="307" t="s">
        <v>43</v>
      </c>
      <c r="B31" s="308"/>
      <c r="C31" s="309"/>
      <c r="D31" s="171">
        <f>D30*D29</f>
        <v>117.45863999999999</v>
      </c>
      <c r="E31" s="7"/>
    </row>
    <row r="32" spans="1:5" ht="30" customHeight="1" x14ac:dyDescent="0.25">
      <c r="A32" s="161" t="s">
        <v>49</v>
      </c>
      <c r="B32" s="162" t="s">
        <v>463</v>
      </c>
      <c r="C32" s="165" t="s">
        <v>66</v>
      </c>
      <c r="D32" s="167" t="s">
        <v>465</v>
      </c>
      <c r="E32" s="7"/>
    </row>
    <row r="33" spans="1:5" x14ac:dyDescent="0.25">
      <c r="A33" s="163"/>
      <c r="B33" s="166" t="s">
        <v>461</v>
      </c>
      <c r="C33" s="167" t="s">
        <v>464</v>
      </c>
      <c r="D33" s="204">
        <v>3.2951700000000002</v>
      </c>
      <c r="E33" s="7"/>
    </row>
    <row r="34" spans="1:5" x14ac:dyDescent="0.25">
      <c r="A34" s="199"/>
      <c r="B34" s="200" t="s">
        <v>785</v>
      </c>
      <c r="C34" s="201" t="s">
        <v>254</v>
      </c>
      <c r="D34" s="202">
        <f>D23</f>
        <v>253.79999999999998</v>
      </c>
      <c r="E34" s="7"/>
    </row>
    <row r="35" spans="1:5" ht="15.75" thickBot="1" x14ac:dyDescent="0.3">
      <c r="A35" s="307" t="s">
        <v>43</v>
      </c>
      <c r="B35" s="308"/>
      <c r="C35" s="309"/>
      <c r="D35" s="171">
        <f>D34*D33</f>
        <v>836.31414599999994</v>
      </c>
      <c r="E35" s="7"/>
    </row>
    <row r="36" spans="1:5" ht="38.25" customHeight="1" x14ac:dyDescent="0.25">
      <c r="A36" s="161" t="s">
        <v>50</v>
      </c>
      <c r="B36" s="162" t="s">
        <v>466</v>
      </c>
      <c r="C36" s="165" t="s">
        <v>254</v>
      </c>
      <c r="D36" s="167" t="s">
        <v>467</v>
      </c>
      <c r="E36" s="7"/>
    </row>
    <row r="37" spans="1:5" x14ac:dyDescent="0.25">
      <c r="A37" s="163"/>
      <c r="B37" s="166" t="str">
        <f>B34</f>
        <v>Área construída: conforme item 1.3</v>
      </c>
      <c r="C37" s="167" t="s">
        <v>254</v>
      </c>
      <c r="D37" s="172">
        <f>D23</f>
        <v>253.79999999999998</v>
      </c>
      <c r="E37" s="7"/>
    </row>
    <row r="38" spans="1:5" ht="15.75" thickBot="1" x14ac:dyDescent="0.3">
      <c r="A38" s="307" t="s">
        <v>43</v>
      </c>
      <c r="B38" s="308"/>
      <c r="C38" s="309"/>
      <c r="D38" s="171">
        <f>D37</f>
        <v>253.79999999999998</v>
      </c>
      <c r="E38" s="7"/>
    </row>
    <row r="39" spans="1:5" ht="15.75" thickBot="1" x14ac:dyDescent="0.3">
      <c r="A39" s="155">
        <v>2</v>
      </c>
      <c r="B39" s="159" t="s">
        <v>18</v>
      </c>
      <c r="C39" s="160"/>
      <c r="D39" s="160"/>
      <c r="E39" s="7"/>
    </row>
    <row r="40" spans="1:5" ht="15.75" thickBot="1" x14ac:dyDescent="0.3">
      <c r="A40" s="174" t="s">
        <v>2</v>
      </c>
      <c r="B40" s="174" t="s">
        <v>446</v>
      </c>
      <c r="C40" s="174" t="s">
        <v>447</v>
      </c>
      <c r="D40" s="174" t="s">
        <v>448</v>
      </c>
      <c r="E40" s="7"/>
    </row>
    <row r="41" spans="1:5" x14ac:dyDescent="0.25">
      <c r="A41" s="161" t="s">
        <v>19</v>
      </c>
      <c r="B41" s="162" t="str">
        <f>ORÇAMENTO!D24</f>
        <v>TRANSPORTE DE ENTULHO EM CAMINHÃO SEM CARGA</v>
      </c>
      <c r="C41" s="165" t="s">
        <v>66</v>
      </c>
      <c r="D41" s="167" t="s">
        <v>471</v>
      </c>
      <c r="E41" s="7"/>
    </row>
    <row r="42" spans="1:5" x14ac:dyDescent="0.25">
      <c r="A42" s="163"/>
      <c r="B42" s="166" t="s">
        <v>472</v>
      </c>
      <c r="C42" s="167" t="s">
        <v>130</v>
      </c>
      <c r="D42" s="172">
        <v>0.15</v>
      </c>
      <c r="E42" s="7"/>
    </row>
    <row r="43" spans="1:5" x14ac:dyDescent="0.25">
      <c r="A43" s="199"/>
      <c r="B43" s="166" t="str">
        <f>B37</f>
        <v>Área construída: conforme item 1.3</v>
      </c>
      <c r="C43" s="201" t="s">
        <v>254</v>
      </c>
      <c r="D43" s="202">
        <f>D23</f>
        <v>253.79999999999998</v>
      </c>
      <c r="E43" s="7"/>
    </row>
    <row r="44" spans="1:5" ht="15.75" thickBot="1" x14ac:dyDescent="0.3">
      <c r="A44" s="307" t="s">
        <v>43</v>
      </c>
      <c r="B44" s="308"/>
      <c r="C44" s="309"/>
      <c r="D44" s="171">
        <f>D43*D42</f>
        <v>38.069999999999993</v>
      </c>
      <c r="E44" s="7"/>
    </row>
    <row r="45" spans="1:5" ht="30" x14ac:dyDescent="0.25">
      <c r="A45" s="161" t="s">
        <v>392</v>
      </c>
      <c r="B45" s="162" t="s">
        <v>469</v>
      </c>
      <c r="C45" s="165" t="s">
        <v>66</v>
      </c>
      <c r="D45" s="167" t="s">
        <v>470</v>
      </c>
      <c r="E45" s="7"/>
    </row>
    <row r="46" spans="1:5" x14ac:dyDescent="0.25">
      <c r="A46" s="163"/>
      <c r="B46" s="166" t="s">
        <v>787</v>
      </c>
      <c r="C46" s="165" t="s">
        <v>468</v>
      </c>
      <c r="D46" s="172">
        <v>5</v>
      </c>
      <c r="E46" s="7"/>
    </row>
    <row r="47" spans="1:5" x14ac:dyDescent="0.25">
      <c r="A47" s="199"/>
      <c r="B47" s="166" t="str">
        <f>B43</f>
        <v>Área construída: conforme item 1.3</v>
      </c>
      <c r="C47" s="201" t="s">
        <v>254</v>
      </c>
      <c r="D47" s="202">
        <f>D43</f>
        <v>253.79999999999998</v>
      </c>
      <c r="E47" s="7"/>
    </row>
    <row r="48" spans="1:5" ht="15.75" thickBot="1" x14ac:dyDescent="0.3">
      <c r="A48" s="307" t="s">
        <v>43</v>
      </c>
      <c r="B48" s="308"/>
      <c r="C48" s="309"/>
      <c r="D48" s="171">
        <f>D47*D46/100</f>
        <v>12.69</v>
      </c>
      <c r="E48" s="7"/>
    </row>
    <row r="49" spans="1:5" ht="15.75" thickBot="1" x14ac:dyDescent="0.3">
      <c r="A49" s="155">
        <v>3</v>
      </c>
      <c r="B49" s="159" t="s">
        <v>473</v>
      </c>
      <c r="C49" s="160"/>
      <c r="D49" s="160"/>
      <c r="E49" s="7"/>
    </row>
    <row r="50" spans="1:5" ht="15.75" thickBot="1" x14ac:dyDescent="0.3">
      <c r="A50" s="174" t="s">
        <v>2</v>
      </c>
      <c r="B50" s="174" t="s">
        <v>446</v>
      </c>
      <c r="C50" s="174" t="s">
        <v>447</v>
      </c>
      <c r="D50" s="174" t="s">
        <v>448</v>
      </c>
      <c r="E50" s="7"/>
    </row>
    <row r="51" spans="1:5" x14ac:dyDescent="0.25">
      <c r="A51" s="161" t="s">
        <v>57</v>
      </c>
      <c r="B51" s="162" t="str">
        <f>ORÇAMENTO!D29</f>
        <v>ARGILA OU BARRO PARA ATERRO/REATERRO (COM TRANSPORTE ATÉ 10 KM)</v>
      </c>
      <c r="C51" s="165" t="s">
        <v>66</v>
      </c>
      <c r="D51" s="167" t="s">
        <v>476</v>
      </c>
      <c r="E51" s="7"/>
    </row>
    <row r="52" spans="1:5" x14ac:dyDescent="0.25">
      <c r="A52" s="163"/>
      <c r="B52" s="166" t="s">
        <v>477</v>
      </c>
      <c r="C52" s="167" t="s">
        <v>254</v>
      </c>
      <c r="D52" s="172">
        <f>D16</f>
        <v>573.5</v>
      </c>
      <c r="E52" s="7"/>
    </row>
    <row r="53" spans="1:5" x14ac:dyDescent="0.25">
      <c r="A53" s="199"/>
      <c r="B53" s="166" t="s">
        <v>480</v>
      </c>
      <c r="C53" s="201" t="s">
        <v>130</v>
      </c>
      <c r="D53" s="202">
        <v>0.1</v>
      </c>
      <c r="E53" s="7"/>
    </row>
    <row r="54" spans="1:5" x14ac:dyDescent="0.25">
      <c r="A54" s="199"/>
      <c r="B54" s="166" t="s">
        <v>478</v>
      </c>
      <c r="C54" s="201" t="s">
        <v>254</v>
      </c>
      <c r="D54" s="202">
        <f>(1.2*0.6)+(0.8*0.6)+(0.4*0.6)</f>
        <v>1.44</v>
      </c>
      <c r="E54" s="7"/>
    </row>
    <row r="55" spans="1:5" x14ac:dyDescent="0.25">
      <c r="A55" s="199"/>
      <c r="B55" s="166" t="s">
        <v>479</v>
      </c>
      <c r="C55" s="201" t="s">
        <v>130</v>
      </c>
      <c r="D55" s="202">
        <v>7.2</v>
      </c>
      <c r="E55" s="7"/>
    </row>
    <row r="56" spans="1:5" ht="15.75" thickBot="1" x14ac:dyDescent="0.3">
      <c r="A56" s="307" t="s">
        <v>43</v>
      </c>
      <c r="B56" s="308"/>
      <c r="C56" s="309"/>
      <c r="D56" s="171">
        <f>(D52*D53)+(D54*D55)</f>
        <v>67.718000000000004</v>
      </c>
      <c r="E56" s="7"/>
    </row>
    <row r="57" spans="1:5" ht="42" customHeight="1" x14ac:dyDescent="0.25">
      <c r="A57" s="161" t="s">
        <v>58</v>
      </c>
      <c r="B57" s="162" t="str">
        <f>ORÇAMENTO!D30</f>
        <v xml:space="preserve">ESCAVACAO MANUAL DE VALAS &lt; 1 MTS. (OBRAS CIVIS) </v>
      </c>
      <c r="C57" s="165" t="s">
        <v>66</v>
      </c>
      <c r="D57" s="167" t="s">
        <v>474</v>
      </c>
      <c r="E57" s="7"/>
    </row>
    <row r="58" spans="1:5" x14ac:dyDescent="0.25">
      <c r="A58" s="163"/>
      <c r="B58" s="166" t="s">
        <v>475</v>
      </c>
      <c r="C58" s="167" t="s">
        <v>130</v>
      </c>
      <c r="D58" s="219">
        <f>D88</f>
        <v>102.05700000000002</v>
      </c>
      <c r="E58" s="7"/>
    </row>
    <row r="59" spans="1:5" x14ac:dyDescent="0.25">
      <c r="A59" s="199"/>
      <c r="B59" s="166" t="s">
        <v>481</v>
      </c>
      <c r="C59" s="201" t="s">
        <v>254</v>
      </c>
      <c r="D59" s="202">
        <f>(0.3+0.14)*0.4</f>
        <v>0.17600000000000002</v>
      </c>
      <c r="E59" s="7"/>
    </row>
    <row r="60" spans="1:5" ht="15.75" thickBot="1" x14ac:dyDescent="0.3">
      <c r="A60" s="310" t="s">
        <v>43</v>
      </c>
      <c r="B60" s="311"/>
      <c r="C60" s="312"/>
      <c r="D60" s="171">
        <f>D59*D58</f>
        <v>17.962032000000004</v>
      </c>
      <c r="E60" s="7"/>
    </row>
    <row r="61" spans="1:5" x14ac:dyDescent="0.25">
      <c r="A61" s="161" t="str">
        <f>ORÇAMENTO!A31</f>
        <v>3.3</v>
      </c>
      <c r="B61" s="162" t="s">
        <v>482</v>
      </c>
      <c r="C61" s="165" t="s">
        <v>254</v>
      </c>
      <c r="D61" s="167" t="s">
        <v>483</v>
      </c>
      <c r="E61" s="7"/>
    </row>
    <row r="62" spans="1:5" x14ac:dyDescent="0.25">
      <c r="A62" s="163"/>
      <c r="B62" s="166" t="str">
        <f>B47</f>
        <v>Área construída: conforme item 1.3</v>
      </c>
      <c r="C62" s="167" t="s">
        <v>254</v>
      </c>
      <c r="D62" s="172">
        <f>D38</f>
        <v>253.79999999999998</v>
      </c>
      <c r="E62" s="7"/>
    </row>
    <row r="63" spans="1:5" s="60" customFormat="1" ht="15.75" thickBot="1" x14ac:dyDescent="0.3">
      <c r="A63" s="307" t="s">
        <v>43</v>
      </c>
      <c r="B63" s="308"/>
      <c r="C63" s="309"/>
      <c r="D63" s="171">
        <f>D62</f>
        <v>253.79999999999998</v>
      </c>
    </row>
    <row r="64" spans="1:5" x14ac:dyDescent="0.25">
      <c r="A64" s="161" t="str">
        <f>ORÇAMENTO!A32</f>
        <v>3.4</v>
      </c>
      <c r="B64" s="162" t="s">
        <v>484</v>
      </c>
      <c r="C64" s="165" t="s">
        <v>254</v>
      </c>
      <c r="D64" s="167" t="s">
        <v>485</v>
      </c>
      <c r="E64" s="7"/>
    </row>
    <row r="65" spans="1:5" x14ac:dyDescent="0.25">
      <c r="A65" s="163"/>
      <c r="B65" s="166" t="s">
        <v>486</v>
      </c>
      <c r="C65" s="167" t="s">
        <v>254</v>
      </c>
      <c r="D65" s="172">
        <f>D16</f>
        <v>573.5</v>
      </c>
      <c r="E65" s="7"/>
    </row>
    <row r="66" spans="1:5" ht="15.75" thickBot="1" x14ac:dyDescent="0.3">
      <c r="A66" s="307" t="s">
        <v>43</v>
      </c>
      <c r="B66" s="308"/>
      <c r="C66" s="309"/>
      <c r="D66" s="171">
        <f>D65</f>
        <v>573.5</v>
      </c>
      <c r="E66" s="7"/>
    </row>
    <row r="67" spans="1:5" ht="15.75" thickBot="1" x14ac:dyDescent="0.3">
      <c r="A67" s="155">
        <v>4</v>
      </c>
      <c r="B67" s="159" t="s">
        <v>487</v>
      </c>
      <c r="C67" s="160"/>
      <c r="D67" s="160"/>
      <c r="E67" s="7"/>
    </row>
    <row r="68" spans="1:5" ht="15.75" thickBot="1" x14ac:dyDescent="0.3">
      <c r="A68" s="174" t="s">
        <v>2</v>
      </c>
      <c r="B68" s="174" t="s">
        <v>446</v>
      </c>
      <c r="C68" s="174" t="s">
        <v>447</v>
      </c>
      <c r="D68" s="174" t="s">
        <v>448</v>
      </c>
      <c r="E68" s="7"/>
    </row>
    <row r="69" spans="1:5" ht="30" x14ac:dyDescent="0.25">
      <c r="A69" s="161" t="str">
        <f>ORÇAMENTO!A36</f>
        <v>4.1</v>
      </c>
      <c r="B69" s="162" t="str">
        <f>ORÇAMENTO!D36</f>
        <v xml:space="preserve">ESTACA A TRADO DIAM.30 CM SEM FERRO </v>
      </c>
      <c r="C69" s="165" t="s">
        <v>130</v>
      </c>
      <c r="D69" s="167" t="s">
        <v>488</v>
      </c>
      <c r="E69" s="7"/>
    </row>
    <row r="70" spans="1:5" x14ac:dyDescent="0.25">
      <c r="A70" s="163"/>
      <c r="B70" s="166" t="s">
        <v>489</v>
      </c>
      <c r="C70" s="167" t="s">
        <v>130</v>
      </c>
      <c r="D70" s="219">
        <v>5</v>
      </c>
      <c r="E70" s="7"/>
    </row>
    <row r="71" spans="1:5" x14ac:dyDescent="0.25">
      <c r="A71" s="163"/>
      <c r="B71" s="166" t="s">
        <v>51</v>
      </c>
      <c r="C71" s="167" t="s">
        <v>378</v>
      </c>
      <c r="D71" s="219">
        <f>24+11+7</f>
        <v>42</v>
      </c>
      <c r="E71" s="7"/>
    </row>
    <row r="72" spans="1:5" ht="15.75" thickBot="1" x14ac:dyDescent="0.3">
      <c r="A72" s="307" t="s">
        <v>43</v>
      </c>
      <c r="B72" s="308"/>
      <c r="C72" s="309"/>
      <c r="D72" s="171">
        <f>D71*D70</f>
        <v>210</v>
      </c>
      <c r="E72" s="7"/>
    </row>
    <row r="73" spans="1:5" x14ac:dyDescent="0.25">
      <c r="A73" s="161" t="str">
        <f>ORÇAMENTO!A37</f>
        <v>4.2</v>
      </c>
      <c r="B73" s="162" t="str">
        <f>ORÇAMENTO!D37</f>
        <v xml:space="preserve">ESCAVACAO MANUAL DE VALAS (SAPATAS/BLOCOS) </v>
      </c>
      <c r="C73" s="165" t="s">
        <v>66</v>
      </c>
      <c r="D73" s="167" t="s">
        <v>490</v>
      </c>
      <c r="E73" s="7"/>
    </row>
    <row r="74" spans="1:5" ht="15" customHeight="1" x14ac:dyDescent="0.25">
      <c r="A74" s="163"/>
      <c r="B74" s="166" t="s">
        <v>246</v>
      </c>
      <c r="C74" s="167"/>
      <c r="D74" s="172"/>
      <c r="E74" s="7"/>
    </row>
    <row r="75" spans="1:5" x14ac:dyDescent="0.25">
      <c r="A75" s="163" t="s">
        <v>525</v>
      </c>
      <c r="B75" s="166" t="s">
        <v>247</v>
      </c>
      <c r="C75" s="167" t="s">
        <v>66</v>
      </c>
      <c r="D75" s="219">
        <f>1.7*0.8*0.55</f>
        <v>0.74800000000000011</v>
      </c>
      <c r="E75" s="7"/>
    </row>
    <row r="76" spans="1:5" x14ac:dyDescent="0.25">
      <c r="A76" s="163" t="s">
        <v>526</v>
      </c>
      <c r="B76" s="166" t="s">
        <v>51</v>
      </c>
      <c r="C76" s="167" t="s">
        <v>378</v>
      </c>
      <c r="D76" s="219">
        <v>12</v>
      </c>
      <c r="E76" s="7"/>
    </row>
    <row r="77" spans="1:5" x14ac:dyDescent="0.25">
      <c r="A77" s="163" t="s">
        <v>527</v>
      </c>
      <c r="B77" s="166" t="s">
        <v>248</v>
      </c>
      <c r="C77" s="167" t="s">
        <v>66</v>
      </c>
      <c r="D77" s="206">
        <f>0.8*0.8</f>
        <v>0.64000000000000012</v>
      </c>
      <c r="E77" s="7"/>
    </row>
    <row r="78" spans="1:5" x14ac:dyDescent="0.25">
      <c r="A78" s="199" t="s">
        <v>547</v>
      </c>
      <c r="B78" s="200" t="s">
        <v>51</v>
      </c>
      <c r="C78" s="201" t="s">
        <v>378</v>
      </c>
      <c r="D78" s="207">
        <v>11</v>
      </c>
      <c r="E78" s="7"/>
    </row>
    <row r="79" spans="1:5" ht="15.75" thickBot="1" x14ac:dyDescent="0.3">
      <c r="A79" s="307" t="s">
        <v>675</v>
      </c>
      <c r="B79" s="308"/>
      <c r="C79" s="309"/>
      <c r="D79" s="171">
        <f>(D75*D76)+(D77*D78)</f>
        <v>16.016000000000002</v>
      </c>
      <c r="E79" s="7"/>
    </row>
    <row r="80" spans="1:5" x14ac:dyDescent="0.25">
      <c r="A80" s="161" t="str">
        <f>ORÇAMENTO!A38</f>
        <v>4.3</v>
      </c>
      <c r="B80" s="162" t="s">
        <v>491</v>
      </c>
      <c r="C80" s="165" t="s">
        <v>254</v>
      </c>
      <c r="D80" s="167" t="s">
        <v>492</v>
      </c>
      <c r="E80" s="7"/>
    </row>
    <row r="81" spans="1:5" ht="15" customHeight="1" x14ac:dyDescent="0.25">
      <c r="A81" s="163"/>
      <c r="B81" s="166" t="s">
        <v>246</v>
      </c>
      <c r="C81" s="167"/>
      <c r="D81" s="172"/>
      <c r="E81" s="7"/>
    </row>
    <row r="82" spans="1:5" x14ac:dyDescent="0.25">
      <c r="A82" s="163" t="s">
        <v>525</v>
      </c>
      <c r="B82" s="166" t="s">
        <v>673</v>
      </c>
      <c r="C82" s="167" t="s">
        <v>254</v>
      </c>
      <c r="D82" s="219">
        <f>1.4*0.5</f>
        <v>0.7</v>
      </c>
      <c r="E82" s="7"/>
    </row>
    <row r="83" spans="1:5" x14ac:dyDescent="0.25">
      <c r="A83" s="163" t="s">
        <v>526</v>
      </c>
      <c r="B83" s="166" t="s">
        <v>51</v>
      </c>
      <c r="C83" s="167" t="s">
        <v>378</v>
      </c>
      <c r="D83" s="219">
        <v>12</v>
      </c>
      <c r="E83" s="7"/>
    </row>
    <row r="84" spans="1:5" x14ac:dyDescent="0.25">
      <c r="A84" s="163" t="s">
        <v>527</v>
      </c>
      <c r="B84" s="166" t="s">
        <v>493</v>
      </c>
      <c r="C84" s="167" t="s">
        <v>254</v>
      </c>
      <c r="D84" s="206">
        <f>0.5*0.5</f>
        <v>0.25</v>
      </c>
      <c r="E84" s="7"/>
    </row>
    <row r="85" spans="1:5" x14ac:dyDescent="0.25">
      <c r="A85" s="199" t="s">
        <v>547</v>
      </c>
      <c r="B85" s="200" t="s">
        <v>51</v>
      </c>
      <c r="C85" s="201" t="s">
        <v>378</v>
      </c>
      <c r="D85" s="207">
        <v>11</v>
      </c>
      <c r="E85" s="7"/>
    </row>
    <row r="86" spans="1:5" ht="15.75" thickBot="1" x14ac:dyDescent="0.3">
      <c r="A86" s="307" t="s">
        <v>674</v>
      </c>
      <c r="B86" s="308"/>
      <c r="C86" s="309"/>
      <c r="D86" s="171">
        <f>(D82*D83)+(D84*D85)</f>
        <v>11.149999999999999</v>
      </c>
      <c r="E86" s="7"/>
    </row>
    <row r="87" spans="1:5" x14ac:dyDescent="0.25">
      <c r="A87" s="161" t="str">
        <f>ORÇAMENTO!A39</f>
        <v>4.4</v>
      </c>
      <c r="B87" s="162" t="str">
        <f>ORÇAMENTO!D39</f>
        <v xml:space="preserve">FORMA TABUA PINHO P/FUNDACOES U=3V - (OBRAS CIVIS) </v>
      </c>
      <c r="C87" s="165" t="s">
        <v>254</v>
      </c>
      <c r="D87" s="206" t="s">
        <v>496</v>
      </c>
      <c r="E87" s="7"/>
    </row>
    <row r="88" spans="1:5" x14ac:dyDescent="0.25">
      <c r="A88" s="202"/>
      <c r="B88" s="205" t="s">
        <v>676</v>
      </c>
      <c r="C88" s="202" t="s">
        <v>130</v>
      </c>
      <c r="D88" s="219">
        <f>3.98+3.9+9.397+2*4.24+2*4.17+2*4.17+2*4.17+4.24+3.15+1.82*2+3.27+1.82*2+2.15*2+2.14+1.5+1.88*2+2.14*2+1.64*4+1.56+2*3.53+2.18</f>
        <v>102.05700000000002</v>
      </c>
      <c r="E88" s="7"/>
    </row>
    <row r="89" spans="1:5" x14ac:dyDescent="0.25">
      <c r="A89" s="202"/>
      <c r="B89" s="205" t="s">
        <v>494</v>
      </c>
      <c r="C89" s="202" t="s">
        <v>130</v>
      </c>
      <c r="D89" s="207">
        <v>0.4</v>
      </c>
      <c r="E89" s="7"/>
    </row>
    <row r="90" spans="1:5" x14ac:dyDescent="0.25">
      <c r="A90" s="202"/>
      <c r="B90" s="205" t="s">
        <v>495</v>
      </c>
      <c r="C90" s="202" t="s">
        <v>378</v>
      </c>
      <c r="D90" s="207">
        <v>2</v>
      </c>
      <c r="E90" s="7"/>
    </row>
    <row r="91" spans="1:5" x14ac:dyDescent="0.25">
      <c r="A91" s="202"/>
      <c r="B91" s="166" t="s">
        <v>497</v>
      </c>
      <c r="C91" s="202" t="s">
        <v>254</v>
      </c>
      <c r="D91" s="207">
        <f>1.4*0.5*2</f>
        <v>1.4</v>
      </c>
      <c r="E91" s="7"/>
    </row>
    <row r="92" spans="1:5" x14ac:dyDescent="0.25">
      <c r="A92" s="202"/>
      <c r="B92" s="205" t="s">
        <v>51</v>
      </c>
      <c r="C92" s="202" t="s">
        <v>378</v>
      </c>
      <c r="D92" s="207">
        <v>2</v>
      </c>
      <c r="E92" s="7"/>
    </row>
    <row r="93" spans="1:5" x14ac:dyDescent="0.25">
      <c r="A93" s="202"/>
      <c r="B93" s="166" t="s">
        <v>498</v>
      </c>
      <c r="C93" s="202" t="s">
        <v>254</v>
      </c>
      <c r="D93" s="207">
        <f>0.55*0.5*2</f>
        <v>0.55000000000000004</v>
      </c>
      <c r="E93" s="7"/>
    </row>
    <row r="94" spans="1:5" x14ac:dyDescent="0.25">
      <c r="A94" s="202"/>
      <c r="B94" s="205" t="s">
        <v>51</v>
      </c>
      <c r="C94" s="202" t="s">
        <v>378</v>
      </c>
      <c r="D94" s="207">
        <v>2</v>
      </c>
      <c r="E94" s="7"/>
    </row>
    <row r="95" spans="1:5" x14ac:dyDescent="0.25">
      <c r="A95" s="202"/>
      <c r="B95" s="166" t="s">
        <v>499</v>
      </c>
      <c r="C95" s="202" t="s">
        <v>254</v>
      </c>
      <c r="D95" s="207">
        <f>0.5*0.5*2</f>
        <v>0.5</v>
      </c>
      <c r="E95" s="7"/>
    </row>
    <row r="96" spans="1:5" x14ac:dyDescent="0.25">
      <c r="A96" s="202"/>
      <c r="B96" s="205" t="s">
        <v>51</v>
      </c>
      <c r="C96" s="202" t="s">
        <v>378</v>
      </c>
      <c r="D96" s="207">
        <v>4</v>
      </c>
      <c r="E96" s="7"/>
    </row>
    <row r="97" spans="1:9" ht="15.75" thickBot="1" x14ac:dyDescent="0.3">
      <c r="A97" s="307" t="s">
        <v>43</v>
      </c>
      <c r="B97" s="308"/>
      <c r="C97" s="309"/>
      <c r="D97" s="171">
        <f>(D88*D89*D90)+(D91*D92)+(D93*D94)+(D95*D96)</f>
        <v>87.545600000000007</v>
      </c>
      <c r="E97" s="7"/>
    </row>
    <row r="98" spans="1:9" ht="33.75" customHeight="1" x14ac:dyDescent="0.25">
      <c r="A98" s="161" t="str">
        <f>ORÇAMENTO!A40</f>
        <v>4.5</v>
      </c>
      <c r="B98" s="162" t="str">
        <f>ORÇAMENTO!D40</f>
        <v xml:space="preserve">PREPARO COM BETONEIRA E TRANSPORTE MANUAL DE CONCRETO FCK-20 - (O.C.) </v>
      </c>
      <c r="C98" s="165" t="s">
        <v>66</v>
      </c>
      <c r="D98" s="206" t="s">
        <v>503</v>
      </c>
      <c r="E98" s="7"/>
      <c r="H98" s="7">
        <f>57.01+11.22+3.45+3.45+2.23+2.23+2.97</f>
        <v>82.560000000000016</v>
      </c>
    </row>
    <row r="99" spans="1:9" x14ac:dyDescent="0.25">
      <c r="A99" s="202"/>
      <c r="B99" s="205" t="s">
        <v>502</v>
      </c>
      <c r="C99" s="202"/>
      <c r="D99" s="207">
        <f>1.4*0.5*0.55</f>
        <v>0.38500000000000001</v>
      </c>
      <c r="E99" s="7"/>
    </row>
    <row r="100" spans="1:9" x14ac:dyDescent="0.25">
      <c r="A100" s="202"/>
      <c r="B100" s="205" t="s">
        <v>51</v>
      </c>
      <c r="C100" s="202"/>
      <c r="D100" s="207">
        <v>12</v>
      </c>
      <c r="E100" s="7"/>
    </row>
    <row r="101" spans="1:9" x14ac:dyDescent="0.25">
      <c r="A101" s="202"/>
      <c r="B101" s="166" t="s">
        <v>500</v>
      </c>
      <c r="C101" s="202"/>
      <c r="D101" s="207">
        <f>0.5*0.5*0.5</f>
        <v>0.125</v>
      </c>
      <c r="E101" s="7"/>
    </row>
    <row r="102" spans="1:9" x14ac:dyDescent="0.25">
      <c r="A102" s="161"/>
      <c r="B102" s="166" t="s">
        <v>51</v>
      </c>
      <c r="C102" s="165"/>
      <c r="D102" s="219">
        <v>11</v>
      </c>
      <c r="E102" s="7"/>
    </row>
    <row r="103" spans="1:9" x14ac:dyDescent="0.25">
      <c r="A103" s="202"/>
      <c r="B103" s="205" t="s">
        <v>501</v>
      </c>
      <c r="C103" s="202"/>
      <c r="D103" s="219">
        <v>5.6</v>
      </c>
      <c r="E103" s="7"/>
    </row>
    <row r="104" spans="1:9" ht="15.75" thickBot="1" x14ac:dyDescent="0.3">
      <c r="A104" s="307" t="s">
        <v>43</v>
      </c>
      <c r="B104" s="308"/>
      <c r="C104" s="309"/>
      <c r="D104" s="171">
        <f>(D99*D100)+(D101*D102)+D103</f>
        <v>11.594999999999999</v>
      </c>
      <c r="E104" s="7"/>
    </row>
    <row r="105" spans="1:9" x14ac:dyDescent="0.25">
      <c r="A105" s="161" t="str">
        <f>ORÇAMENTO!A41</f>
        <v>4.6</v>
      </c>
      <c r="B105" s="162" t="str">
        <f>ORÇAMENTO!D41</f>
        <v xml:space="preserve">LANÇAMENTO/APLICAÇÃO/ADENSAMENTO DE CONCRETO EM FUNDAÇÃO- (O.C.) </v>
      </c>
      <c r="C105" s="165" t="s">
        <v>66</v>
      </c>
      <c r="D105" s="206" t="s">
        <v>677</v>
      </c>
      <c r="E105" s="7"/>
      <c r="G105" s="7">
        <f>11.22+3.45+3.45+2.23+2.3+2.97</f>
        <v>25.62</v>
      </c>
      <c r="I105" s="7">
        <f>2.5*4*29</f>
        <v>290</v>
      </c>
    </row>
    <row r="106" spans="1:9" x14ac:dyDescent="0.25">
      <c r="A106" s="202"/>
      <c r="B106" s="205" t="s">
        <v>502</v>
      </c>
      <c r="C106" s="202" t="s">
        <v>66</v>
      </c>
      <c r="D106" s="207">
        <f>1.4*0.5*0.55</f>
        <v>0.38500000000000001</v>
      </c>
      <c r="E106" s="7"/>
      <c r="I106" s="7">
        <f>11.07+3.45+3.45+2.07+2.07+3.07</f>
        <v>25.18</v>
      </c>
    </row>
    <row r="107" spans="1:9" x14ac:dyDescent="0.25">
      <c r="A107" s="202"/>
      <c r="B107" s="205" t="s">
        <v>51</v>
      </c>
      <c r="C107" s="202" t="s">
        <v>378</v>
      </c>
      <c r="D107" s="207">
        <v>12</v>
      </c>
      <c r="E107" s="7"/>
    </row>
    <row r="108" spans="1:9" x14ac:dyDescent="0.25">
      <c r="A108" s="202"/>
      <c r="B108" s="166" t="s">
        <v>500</v>
      </c>
      <c r="C108" s="202" t="s">
        <v>66</v>
      </c>
      <c r="D108" s="207">
        <f>0.5*0.5*0.5</f>
        <v>0.125</v>
      </c>
      <c r="E108" s="7"/>
    </row>
    <row r="109" spans="1:9" x14ac:dyDescent="0.25">
      <c r="A109" s="161"/>
      <c r="B109" s="166" t="s">
        <v>51</v>
      </c>
      <c r="C109" s="167" t="s">
        <v>378</v>
      </c>
      <c r="D109" s="206">
        <v>11</v>
      </c>
      <c r="E109" s="7"/>
    </row>
    <row r="110" spans="1:9" x14ac:dyDescent="0.25">
      <c r="A110" s="202"/>
      <c r="B110" s="205" t="s">
        <v>501</v>
      </c>
      <c r="C110" s="202" t="s">
        <v>66</v>
      </c>
      <c r="D110" s="219">
        <f>D103</f>
        <v>5.6</v>
      </c>
      <c r="E110" s="7"/>
    </row>
    <row r="111" spans="1:9" ht="15.75" thickBot="1" x14ac:dyDescent="0.3">
      <c r="A111" s="307" t="s">
        <v>43</v>
      </c>
      <c r="B111" s="308"/>
      <c r="C111" s="309"/>
      <c r="D111" s="171">
        <f>(D106*D107)+(D108*D109)+D110</f>
        <v>11.594999999999999</v>
      </c>
      <c r="E111" s="7"/>
    </row>
    <row r="112" spans="1:9" ht="30" x14ac:dyDescent="0.25">
      <c r="A112" s="161" t="str">
        <f>ORÇAMENTO!A42</f>
        <v>4.7</v>
      </c>
      <c r="B112" s="162" t="s">
        <v>680</v>
      </c>
      <c r="C112" s="208" t="s">
        <v>379</v>
      </c>
      <c r="D112" s="202" t="s">
        <v>506</v>
      </c>
      <c r="E112" s="7"/>
    </row>
    <row r="113" spans="1:5" x14ac:dyDescent="0.25">
      <c r="A113" s="202"/>
      <c r="B113" s="205" t="s">
        <v>679</v>
      </c>
      <c r="C113" s="202" t="s">
        <v>130</v>
      </c>
      <c r="D113" s="207">
        <v>511.27</v>
      </c>
      <c r="E113" s="7"/>
    </row>
    <row r="114" spans="1:5" x14ac:dyDescent="0.25">
      <c r="A114" s="202"/>
      <c r="B114" s="205" t="s">
        <v>678</v>
      </c>
      <c r="C114" s="202" t="s">
        <v>130</v>
      </c>
      <c r="D114" s="207">
        <v>323.39999999999998</v>
      </c>
      <c r="E114" s="7"/>
    </row>
    <row r="115" spans="1:5" x14ac:dyDescent="0.25">
      <c r="A115" s="202"/>
      <c r="B115" s="166" t="s">
        <v>504</v>
      </c>
      <c r="C115" s="202" t="s">
        <v>505</v>
      </c>
      <c r="D115" s="220">
        <v>0.154</v>
      </c>
      <c r="E115" s="7"/>
    </row>
    <row r="116" spans="1:5" ht="15.75" thickBot="1" x14ac:dyDescent="0.3">
      <c r="A116" s="307" t="s">
        <v>43</v>
      </c>
      <c r="B116" s="308"/>
      <c r="C116" s="309"/>
      <c r="D116" s="171">
        <f>(D113+D114)*D115</f>
        <v>128.53917999999999</v>
      </c>
      <c r="E116" s="7"/>
    </row>
    <row r="117" spans="1:5" ht="30" x14ac:dyDescent="0.25">
      <c r="A117" s="161" t="str">
        <f>ORÇAMENTO!A43</f>
        <v>4.8</v>
      </c>
      <c r="B117" s="162" t="str">
        <f>ORÇAMENTO!D43</f>
        <v xml:space="preserve">ACO CA 50-A - 8,0 MM (5/16") - (OBRAS CIVIS) </v>
      </c>
      <c r="C117" s="208"/>
      <c r="D117" s="202" t="s">
        <v>506</v>
      </c>
      <c r="E117" s="7"/>
    </row>
    <row r="118" spans="1:5" x14ac:dyDescent="0.25">
      <c r="A118" s="222"/>
      <c r="B118" s="224" t="s">
        <v>682</v>
      </c>
      <c r="C118" s="207" t="s">
        <v>130</v>
      </c>
      <c r="D118" s="202">
        <v>610.64</v>
      </c>
      <c r="E118" s="7"/>
    </row>
    <row r="119" spans="1:5" x14ac:dyDescent="0.25">
      <c r="A119" s="202"/>
      <c r="B119" s="205" t="s">
        <v>249</v>
      </c>
      <c r="C119" s="202" t="s">
        <v>130</v>
      </c>
      <c r="D119" s="207">
        <v>399.04</v>
      </c>
      <c r="E119" s="7"/>
    </row>
    <row r="120" spans="1:5" x14ac:dyDescent="0.25">
      <c r="A120" s="202"/>
      <c r="B120" s="166" t="s">
        <v>504</v>
      </c>
      <c r="C120" s="202" t="s">
        <v>505</v>
      </c>
      <c r="D120" s="220">
        <v>0.39500000000000002</v>
      </c>
      <c r="E120" s="7"/>
    </row>
    <row r="121" spans="1:5" ht="15.75" thickBot="1" x14ac:dyDescent="0.3">
      <c r="A121" s="307" t="s">
        <v>43</v>
      </c>
      <c r="B121" s="308"/>
      <c r="C121" s="309"/>
      <c r="D121" s="171">
        <f>(D119+D118)*D120</f>
        <v>398.82360000000006</v>
      </c>
      <c r="E121" s="7"/>
    </row>
    <row r="122" spans="1:5" ht="30" x14ac:dyDescent="0.25">
      <c r="A122" s="161" t="str">
        <f>ORÇAMENTO!A44</f>
        <v>4.9</v>
      </c>
      <c r="B122" s="162" t="str">
        <f>ORÇAMENTO!D44</f>
        <v>ACO CA-50A - 10,0 MM (3/8") - (OBRAS CIVIS)</v>
      </c>
      <c r="C122" s="202"/>
      <c r="D122" s="202" t="s">
        <v>506</v>
      </c>
      <c r="E122" s="7"/>
    </row>
    <row r="123" spans="1:5" x14ac:dyDescent="0.25">
      <c r="A123" s="202"/>
      <c r="B123" s="205" t="s">
        <v>682</v>
      </c>
      <c r="C123" s="202" t="s">
        <v>130</v>
      </c>
      <c r="D123" s="207">
        <v>98.4</v>
      </c>
      <c r="E123" s="7"/>
    </row>
    <row r="124" spans="1:5" x14ac:dyDescent="0.25">
      <c r="A124" s="202"/>
      <c r="B124" s="205" t="s">
        <v>681</v>
      </c>
      <c r="C124" s="202" t="s">
        <v>130</v>
      </c>
      <c r="D124" s="207">
        <f>42*4*2.5</f>
        <v>420</v>
      </c>
      <c r="E124" s="7"/>
    </row>
    <row r="125" spans="1:5" x14ac:dyDescent="0.25">
      <c r="A125" s="202"/>
      <c r="B125" s="166" t="s">
        <v>504</v>
      </c>
      <c r="C125" s="202" t="s">
        <v>505</v>
      </c>
      <c r="D125" s="220">
        <v>0.61699999999999999</v>
      </c>
      <c r="E125" s="7"/>
    </row>
    <row r="126" spans="1:5" ht="15.75" thickBot="1" x14ac:dyDescent="0.3">
      <c r="A126" s="307" t="s">
        <v>43</v>
      </c>
      <c r="B126" s="308"/>
      <c r="C126" s="309"/>
      <c r="D126" s="171">
        <f>(D124+D123)*D125</f>
        <v>319.8528</v>
      </c>
      <c r="E126" s="7"/>
    </row>
    <row r="127" spans="1:5" ht="15.75" thickBot="1" x14ac:dyDescent="0.3">
      <c r="A127" s="155">
        <v>5</v>
      </c>
      <c r="B127" s="159" t="s">
        <v>23</v>
      </c>
      <c r="C127" s="160"/>
      <c r="D127" s="160"/>
      <c r="E127" s="7"/>
    </row>
    <row r="128" spans="1:5" ht="15.75" thickBot="1" x14ac:dyDescent="0.3">
      <c r="A128" s="174" t="s">
        <v>2</v>
      </c>
      <c r="B128" s="174" t="s">
        <v>446</v>
      </c>
      <c r="C128" s="174" t="s">
        <v>447</v>
      </c>
      <c r="D128" s="174" t="s">
        <v>448</v>
      </c>
      <c r="E128" s="7"/>
    </row>
    <row r="129" spans="1:5" x14ac:dyDescent="0.25">
      <c r="A129" s="161" t="str">
        <f>ORÇAMENTO!A48</f>
        <v>5.1</v>
      </c>
      <c r="B129" s="162" t="str">
        <f>ORÇAMENTO!D48</f>
        <v>VERGA/CONTRAVERGA EM CONCRETO ARMADO FCK = 20 MPA</v>
      </c>
      <c r="C129" s="208" t="s">
        <v>66</v>
      </c>
      <c r="D129" s="202" t="s">
        <v>683</v>
      </c>
      <c r="E129" s="7"/>
    </row>
    <row r="130" spans="1:5" x14ac:dyDescent="0.25">
      <c r="A130" s="202"/>
      <c r="B130" s="205" t="s">
        <v>684</v>
      </c>
      <c r="C130" s="202" t="s">
        <v>254</v>
      </c>
      <c r="D130" s="207">
        <f>0.15*0.2</f>
        <v>0.03</v>
      </c>
      <c r="E130" s="7"/>
    </row>
    <row r="131" spans="1:5" x14ac:dyDescent="0.25">
      <c r="A131" s="202"/>
      <c r="B131" s="205" t="s">
        <v>687</v>
      </c>
      <c r="C131" s="202" t="s">
        <v>130</v>
      </c>
      <c r="D131" s="207">
        <f>(0.8+0.5)*4</f>
        <v>5.2</v>
      </c>
      <c r="E131" s="7"/>
    </row>
    <row r="132" spans="1:5" x14ac:dyDescent="0.25">
      <c r="A132" s="207"/>
      <c r="B132" s="209" t="s">
        <v>686</v>
      </c>
      <c r="C132" s="207" t="s">
        <v>130</v>
      </c>
      <c r="D132" s="207">
        <f>(1.5*3)</f>
        <v>4.5</v>
      </c>
      <c r="E132" s="7"/>
    </row>
    <row r="133" spans="1:5" ht="15" customHeight="1" x14ac:dyDescent="0.25">
      <c r="A133" s="207"/>
      <c r="B133" s="209" t="s">
        <v>270</v>
      </c>
      <c r="C133" s="207"/>
      <c r="D133" s="207"/>
      <c r="E133" s="7"/>
    </row>
    <row r="134" spans="1:5" ht="15" customHeight="1" x14ac:dyDescent="0.25">
      <c r="A134" s="207"/>
      <c r="B134" s="209" t="s">
        <v>271</v>
      </c>
      <c r="C134" s="207"/>
      <c r="D134" s="207"/>
      <c r="E134" s="7"/>
    </row>
    <row r="135" spans="1:5" x14ac:dyDescent="0.25">
      <c r="A135" s="207"/>
      <c r="B135" s="209" t="s">
        <v>685</v>
      </c>
      <c r="C135" s="207" t="s">
        <v>130</v>
      </c>
      <c r="D135" s="207">
        <f>1*2</f>
        <v>2</v>
      </c>
      <c r="E135" s="7"/>
    </row>
    <row r="136" spans="1:5" x14ac:dyDescent="0.25">
      <c r="A136" s="207"/>
      <c r="B136" s="209" t="s">
        <v>688</v>
      </c>
      <c r="C136" s="207" t="s">
        <v>130</v>
      </c>
      <c r="D136" s="207">
        <f>2.9*10</f>
        <v>29</v>
      </c>
      <c r="E136" s="7"/>
    </row>
    <row r="137" spans="1:5" x14ac:dyDescent="0.25">
      <c r="A137" s="207"/>
      <c r="B137" s="209" t="s">
        <v>689</v>
      </c>
      <c r="C137" s="207" t="s">
        <v>130</v>
      </c>
      <c r="D137" s="207">
        <v>2.9</v>
      </c>
      <c r="E137" s="7"/>
    </row>
    <row r="138" spans="1:5" ht="15" customHeight="1" x14ac:dyDescent="0.25">
      <c r="A138" s="207"/>
      <c r="B138" s="209" t="s">
        <v>268</v>
      </c>
      <c r="C138" s="207"/>
      <c r="D138" s="207"/>
      <c r="E138" s="7"/>
    </row>
    <row r="139" spans="1:5" ht="15" customHeight="1" x14ac:dyDescent="0.25">
      <c r="A139" s="207"/>
      <c r="B139" s="209" t="s">
        <v>269</v>
      </c>
      <c r="C139" s="207"/>
      <c r="D139" s="207"/>
      <c r="E139" s="7"/>
    </row>
    <row r="140" spans="1:5" x14ac:dyDescent="0.25">
      <c r="A140" s="207"/>
      <c r="B140" s="209" t="s">
        <v>690</v>
      </c>
      <c r="C140" s="207" t="s">
        <v>130</v>
      </c>
      <c r="D140" s="207">
        <v>2</v>
      </c>
      <c r="E140" s="7"/>
    </row>
    <row r="141" spans="1:5" ht="15.75" thickBot="1" x14ac:dyDescent="0.3">
      <c r="A141" s="310" t="s">
        <v>43</v>
      </c>
      <c r="B141" s="311"/>
      <c r="C141" s="312"/>
      <c r="D141" s="171">
        <f>SUM(D131:D140)*D130</f>
        <v>1.3679999999999999</v>
      </c>
      <c r="E141" s="7"/>
    </row>
    <row r="142" spans="1:5" x14ac:dyDescent="0.25">
      <c r="A142" s="161" t="s">
        <v>261</v>
      </c>
      <c r="B142" s="162" t="str">
        <f>ORÇAMENTO!D49</f>
        <v>ANDAIME METALICO FACHADEIRO (ALUGUEL/MES)</v>
      </c>
      <c r="C142" s="208" t="s">
        <v>66</v>
      </c>
      <c r="D142" s="202" t="s">
        <v>703</v>
      </c>
      <c r="E142" s="7"/>
    </row>
    <row r="143" spans="1:5" x14ac:dyDescent="0.25">
      <c r="A143" s="202" t="s">
        <v>525</v>
      </c>
      <c r="B143" s="205" t="s">
        <v>704</v>
      </c>
      <c r="C143" s="202" t="s">
        <v>254</v>
      </c>
      <c r="D143" s="207">
        <v>68.75</v>
      </c>
      <c r="E143" s="7"/>
    </row>
    <row r="144" spans="1:5" x14ac:dyDescent="0.25">
      <c r="A144" s="202" t="s">
        <v>526</v>
      </c>
      <c r="B144" s="205" t="s">
        <v>788</v>
      </c>
      <c r="C144" s="202" t="s">
        <v>380</v>
      </c>
      <c r="D144" s="207">
        <v>1</v>
      </c>
      <c r="E144" s="7"/>
    </row>
    <row r="145" spans="1:5" ht="15.75" thickBot="1" x14ac:dyDescent="0.3">
      <c r="A145" s="307" t="s">
        <v>536</v>
      </c>
      <c r="B145" s="308"/>
      <c r="C145" s="309"/>
      <c r="D145" s="171">
        <f>D144*D143</f>
        <v>68.75</v>
      </c>
      <c r="E145" s="7"/>
    </row>
    <row r="146" spans="1:5" x14ac:dyDescent="0.25">
      <c r="A146" s="161" t="str">
        <f>ORÇAMENTO!A50</f>
        <v>5.3</v>
      </c>
      <c r="B146" s="162" t="str">
        <f>ORÇAMENTO!D50</f>
        <v>FORMA CH.COMPENSADA 12MM-VIGA/PILAR U=3V - (OBRAS CIVIS)</v>
      </c>
      <c r="C146" s="208" t="s">
        <v>254</v>
      </c>
      <c r="D146" s="202" t="s">
        <v>694</v>
      </c>
      <c r="E146" s="7"/>
    </row>
    <row r="147" spans="1:5" x14ac:dyDescent="0.25">
      <c r="A147" s="222"/>
      <c r="B147" s="223" t="s">
        <v>695</v>
      </c>
      <c r="C147" s="208"/>
      <c r="D147" s="202"/>
      <c r="E147" s="7"/>
    </row>
    <row r="148" spans="1:5" x14ac:dyDescent="0.25">
      <c r="A148" s="202"/>
      <c r="B148" s="205" t="s">
        <v>693</v>
      </c>
      <c r="C148" s="202" t="s">
        <v>254</v>
      </c>
      <c r="D148" s="207">
        <f>($D$88-7.2-1.88-1.88)*0.4*2+(91.1*0.14)</f>
        <v>85.63160000000002</v>
      </c>
      <c r="E148" s="7"/>
    </row>
    <row r="149" spans="1:5" x14ac:dyDescent="0.25">
      <c r="A149" s="202"/>
      <c r="B149" s="205" t="s">
        <v>691</v>
      </c>
      <c r="C149" s="202" t="s">
        <v>254</v>
      </c>
      <c r="D149" s="207">
        <f>((0.2*3*2)+(0.3*3*2))*12</f>
        <v>36</v>
      </c>
      <c r="E149" s="7"/>
    </row>
    <row r="150" spans="1:5" x14ac:dyDescent="0.25">
      <c r="A150" s="202"/>
      <c r="B150" s="205" t="s">
        <v>692</v>
      </c>
      <c r="C150" s="202" t="s">
        <v>254</v>
      </c>
      <c r="D150" s="207">
        <f>((0.3*3*2)+(0.14*3*2))*11</f>
        <v>29.039999999999996</v>
      </c>
      <c r="E150" s="7"/>
    </row>
    <row r="151" spans="1:5" x14ac:dyDescent="0.25">
      <c r="A151" s="221"/>
      <c r="B151" s="223" t="s">
        <v>768</v>
      </c>
      <c r="C151" s="208"/>
      <c r="D151" s="202"/>
      <c r="E151" s="7"/>
    </row>
    <row r="152" spans="1:5" x14ac:dyDescent="0.25">
      <c r="A152" s="221"/>
      <c r="B152" s="205" t="s">
        <v>693</v>
      </c>
      <c r="C152" s="202" t="s">
        <v>254</v>
      </c>
      <c r="D152" s="207">
        <f>($D$88-7.2-1.88-1.88)*0.4*2+(91.1*0.14)</f>
        <v>85.63160000000002</v>
      </c>
      <c r="E152" s="7"/>
    </row>
    <row r="153" spans="1:5" x14ac:dyDescent="0.25">
      <c r="A153" s="221"/>
      <c r="B153" s="205" t="s">
        <v>691</v>
      </c>
      <c r="C153" s="202" t="s">
        <v>254</v>
      </c>
      <c r="D153" s="207">
        <f>((0.2*1*2)+(0.3*1*2))*12</f>
        <v>12</v>
      </c>
      <c r="E153" s="7"/>
    </row>
    <row r="154" spans="1:5" x14ac:dyDescent="0.25">
      <c r="A154" s="221"/>
      <c r="B154" s="205" t="s">
        <v>692</v>
      </c>
      <c r="C154" s="202" t="s">
        <v>254</v>
      </c>
      <c r="D154" s="207">
        <f>((0.3*1*2)+(0.14*1*2))*11</f>
        <v>9.68</v>
      </c>
      <c r="E154" s="7"/>
    </row>
    <row r="155" spans="1:5" x14ac:dyDescent="0.25">
      <c r="A155" s="221"/>
      <c r="B155" s="225" t="s">
        <v>696</v>
      </c>
      <c r="C155" s="202"/>
      <c r="D155" s="207"/>
      <c r="E155" s="7"/>
    </row>
    <row r="156" spans="1:5" ht="14.25" customHeight="1" x14ac:dyDescent="0.25">
      <c r="A156" s="221"/>
      <c r="B156" s="205" t="s">
        <v>769</v>
      </c>
      <c r="C156" s="202" t="s">
        <v>254</v>
      </c>
      <c r="D156" s="207">
        <f>($D$88-7.2-1.88-1.88)*0.2*2+(91.1*0.14)</f>
        <v>49.192800000000005</v>
      </c>
      <c r="E156" s="7"/>
    </row>
    <row r="157" spans="1:5" x14ac:dyDescent="0.25">
      <c r="A157" s="202"/>
      <c r="B157" s="205" t="s">
        <v>692</v>
      </c>
      <c r="C157" s="202" t="s">
        <v>254</v>
      </c>
      <c r="D157" s="207">
        <f>((0.3*2.2*2)+(0.14*2.2*2))*6</f>
        <v>11.616000000000001</v>
      </c>
      <c r="E157" s="7"/>
    </row>
    <row r="158" spans="1:5" x14ac:dyDescent="0.25">
      <c r="A158" s="202"/>
      <c r="B158" s="205" t="s">
        <v>691</v>
      </c>
      <c r="C158" s="202" t="s">
        <v>254</v>
      </c>
      <c r="D158" s="207">
        <f>((0.2*2.2*2)+(0.3*2.2*2))*12</f>
        <v>26.400000000000002</v>
      </c>
      <c r="E158" s="7"/>
    </row>
    <row r="159" spans="1:5" ht="15.75" thickBot="1" x14ac:dyDescent="0.3">
      <c r="A159" s="307" t="s">
        <v>43</v>
      </c>
      <c r="B159" s="308"/>
      <c r="C159" s="309"/>
      <c r="D159" s="171">
        <f>SUM(D147:D158)</f>
        <v>345.19200000000001</v>
      </c>
      <c r="E159" s="7"/>
    </row>
    <row r="160" spans="1:5" x14ac:dyDescent="0.25">
      <c r="A160" s="161" t="str">
        <f>ORÇAMENTO!A51</f>
        <v>5.4</v>
      </c>
      <c r="B160" s="162" t="s">
        <v>680</v>
      </c>
      <c r="C160" s="208" t="s">
        <v>379</v>
      </c>
      <c r="D160" s="202" t="s">
        <v>697</v>
      </c>
      <c r="E160" s="7"/>
    </row>
    <row r="161" spans="1:8" x14ac:dyDescent="0.25">
      <c r="A161" s="222"/>
      <c r="B161" s="205" t="s">
        <v>770</v>
      </c>
      <c r="C161" s="202" t="s">
        <v>130</v>
      </c>
      <c r="D161" s="207">
        <v>583.85</v>
      </c>
      <c r="E161" s="7"/>
    </row>
    <row r="162" spans="1:8" x14ac:dyDescent="0.25">
      <c r="A162" s="222"/>
      <c r="B162" s="205" t="s">
        <v>771</v>
      </c>
      <c r="C162" s="202" t="s">
        <v>130</v>
      </c>
      <c r="D162" s="207">
        <v>459.68</v>
      </c>
      <c r="E162" s="7"/>
    </row>
    <row r="163" spans="1:8" x14ac:dyDescent="0.25">
      <c r="A163" s="222"/>
      <c r="B163" s="205" t="s">
        <v>772</v>
      </c>
      <c r="C163" s="202" t="s">
        <v>130</v>
      </c>
      <c r="D163" s="207">
        <v>300.8</v>
      </c>
      <c r="E163" s="7"/>
    </row>
    <row r="164" spans="1:8" x14ac:dyDescent="0.25">
      <c r="A164" s="222"/>
      <c r="B164" s="205" t="s">
        <v>773</v>
      </c>
      <c r="C164" s="202" t="s">
        <v>130</v>
      </c>
      <c r="D164" s="207">
        <v>258.95999999999998</v>
      </c>
      <c r="E164" s="7"/>
    </row>
    <row r="165" spans="1:8" x14ac:dyDescent="0.25">
      <c r="A165" s="222"/>
      <c r="B165" s="205" t="s">
        <v>774</v>
      </c>
      <c r="C165" s="202" t="s">
        <v>130</v>
      </c>
      <c r="D165" s="207">
        <v>90.48</v>
      </c>
      <c r="E165" s="7"/>
    </row>
    <row r="166" spans="1:8" ht="15.75" customHeight="1" x14ac:dyDescent="0.25">
      <c r="A166" s="202"/>
      <c r="B166" s="205" t="s">
        <v>399</v>
      </c>
      <c r="C166" s="202" t="s">
        <v>130</v>
      </c>
      <c r="D166" s="207">
        <v>691.44</v>
      </c>
      <c r="E166" s="7"/>
    </row>
    <row r="167" spans="1:8" ht="15.75" customHeight="1" x14ac:dyDescent="0.25">
      <c r="A167" s="202"/>
      <c r="B167" s="166" t="s">
        <v>504</v>
      </c>
      <c r="C167" s="202" t="s">
        <v>505</v>
      </c>
      <c r="D167" s="220">
        <v>0.154</v>
      </c>
      <c r="E167" s="7"/>
    </row>
    <row r="168" spans="1:8" ht="15.75" thickBot="1" x14ac:dyDescent="0.3">
      <c r="A168" s="307" t="s">
        <v>43</v>
      </c>
      <c r="B168" s="308"/>
      <c r="C168" s="309"/>
      <c r="D168" s="171">
        <f>SUM(D161:D166)*D167</f>
        <v>367.32234</v>
      </c>
      <c r="E168" s="7"/>
      <c r="H168" s="7" t="s">
        <v>342</v>
      </c>
    </row>
    <row r="169" spans="1:8" x14ac:dyDescent="0.25">
      <c r="A169" s="161" t="str">
        <f>ORÇAMENTO!A52</f>
        <v>5.5</v>
      </c>
      <c r="B169" s="162" t="str">
        <f>ORÇAMENTO!D52</f>
        <v>ACO CA-50 A - 8,0 MM (5/16") - (OBRAS CIVIS)</v>
      </c>
      <c r="C169" s="208" t="s">
        <v>379</v>
      </c>
      <c r="D169" s="202" t="s">
        <v>697</v>
      </c>
      <c r="E169" s="7"/>
    </row>
    <row r="170" spans="1:8" x14ac:dyDescent="0.25">
      <c r="A170" s="222"/>
      <c r="B170" s="205" t="s">
        <v>770</v>
      </c>
      <c r="C170" s="207" t="s">
        <v>130</v>
      </c>
      <c r="D170" s="202">
        <v>437.4</v>
      </c>
      <c r="E170" s="7"/>
    </row>
    <row r="171" spans="1:8" x14ac:dyDescent="0.25">
      <c r="A171" s="222"/>
      <c r="B171" s="205" t="s">
        <v>771</v>
      </c>
      <c r="C171" s="207" t="s">
        <v>130</v>
      </c>
      <c r="D171" s="202">
        <v>132.6</v>
      </c>
      <c r="E171" s="7"/>
    </row>
    <row r="172" spans="1:8" x14ac:dyDescent="0.25">
      <c r="A172" s="222"/>
      <c r="B172" s="205" t="s">
        <v>772</v>
      </c>
      <c r="C172" s="207" t="s">
        <v>130</v>
      </c>
      <c r="D172" s="202">
        <v>282.04000000000002</v>
      </c>
      <c r="E172" s="7"/>
    </row>
    <row r="173" spans="1:8" x14ac:dyDescent="0.25">
      <c r="A173" s="222"/>
      <c r="B173" s="166" t="s">
        <v>504</v>
      </c>
      <c r="C173" s="202" t="s">
        <v>505</v>
      </c>
      <c r="D173" s="220">
        <v>0.39500000000000002</v>
      </c>
      <c r="E173" s="7"/>
    </row>
    <row r="174" spans="1:8" ht="15.75" thickBot="1" x14ac:dyDescent="0.3">
      <c r="A174" s="307" t="s">
        <v>43</v>
      </c>
      <c r="B174" s="308"/>
      <c r="C174" s="309"/>
      <c r="D174" s="171">
        <f>SUM(D170:D172)*D173</f>
        <v>336.55579999999998</v>
      </c>
      <c r="E174" s="7"/>
    </row>
    <row r="175" spans="1:8" x14ac:dyDescent="0.25">
      <c r="A175" s="161" t="str">
        <f>ORÇAMENTO!A53</f>
        <v>5.6</v>
      </c>
      <c r="B175" s="162" t="str">
        <f>ORÇAMENTO!D53</f>
        <v xml:space="preserve">ACO CA-50A - 10,0 MM (3/8") - (OBRAS CIVIS) </v>
      </c>
      <c r="C175" s="208" t="s">
        <v>379</v>
      </c>
      <c r="D175" s="202" t="s">
        <v>697</v>
      </c>
      <c r="E175" s="7"/>
    </row>
    <row r="176" spans="1:8" x14ac:dyDescent="0.25">
      <c r="A176" s="222"/>
      <c r="B176" s="205" t="s">
        <v>770</v>
      </c>
      <c r="C176" s="202" t="s">
        <v>130</v>
      </c>
      <c r="D176" s="207">
        <v>132.6</v>
      </c>
      <c r="E176" s="7"/>
    </row>
    <row r="177" spans="1:5" x14ac:dyDescent="0.25">
      <c r="A177" s="222"/>
      <c r="B177" s="205" t="s">
        <v>773</v>
      </c>
      <c r="C177" s="202" t="s">
        <v>130</v>
      </c>
      <c r="D177" s="207">
        <v>159.19999999999999</v>
      </c>
      <c r="E177" s="7"/>
    </row>
    <row r="178" spans="1:5" x14ac:dyDescent="0.25">
      <c r="A178" s="222"/>
      <c r="B178" s="205" t="s">
        <v>774</v>
      </c>
      <c r="C178" s="202" t="s">
        <v>130</v>
      </c>
      <c r="D178" s="207">
        <v>62.4</v>
      </c>
      <c r="E178" s="7"/>
    </row>
    <row r="179" spans="1:5" x14ac:dyDescent="0.25">
      <c r="A179" s="202"/>
      <c r="B179" s="205" t="s">
        <v>399</v>
      </c>
      <c r="C179" s="202" t="s">
        <v>130</v>
      </c>
      <c r="D179" s="207">
        <v>374.4</v>
      </c>
      <c r="E179" s="7"/>
    </row>
    <row r="180" spans="1:5" x14ac:dyDescent="0.25">
      <c r="A180" s="202"/>
      <c r="B180" s="166" t="s">
        <v>504</v>
      </c>
      <c r="C180" s="202" t="s">
        <v>505</v>
      </c>
      <c r="D180" s="220">
        <v>0.61699999999999999</v>
      </c>
      <c r="E180" s="7"/>
    </row>
    <row r="181" spans="1:5" ht="15.75" thickBot="1" x14ac:dyDescent="0.3">
      <c r="A181" s="307" t="s">
        <v>43</v>
      </c>
      <c r="B181" s="308"/>
      <c r="C181" s="309"/>
      <c r="D181" s="171">
        <f>SUM(D176:D179)*D180</f>
        <v>449.54619999999994</v>
      </c>
      <c r="E181" s="7"/>
    </row>
    <row r="182" spans="1:5" x14ac:dyDescent="0.25">
      <c r="A182" s="161" t="s">
        <v>266</v>
      </c>
      <c r="B182" s="162" t="str">
        <f>ORÇAMENTO!D54</f>
        <v xml:space="preserve">PREPARO COM BETONEIRA E TRANSPORTE MANUAL DE CONCRETO FCK=30 MPA </v>
      </c>
      <c r="C182" s="208"/>
      <c r="D182" s="202"/>
      <c r="E182" s="7"/>
    </row>
    <row r="183" spans="1:5" x14ac:dyDescent="0.25">
      <c r="A183" s="222"/>
      <c r="B183" s="205" t="s">
        <v>770</v>
      </c>
      <c r="C183" s="207" t="s">
        <v>66</v>
      </c>
      <c r="D183" s="202">
        <v>4.9000000000000004</v>
      </c>
      <c r="E183" s="7"/>
    </row>
    <row r="184" spans="1:5" x14ac:dyDescent="0.25">
      <c r="A184" s="222"/>
      <c r="B184" s="205" t="s">
        <v>771</v>
      </c>
      <c r="C184" s="207" t="s">
        <v>66</v>
      </c>
      <c r="D184" s="202">
        <v>3.71</v>
      </c>
      <c r="E184" s="7"/>
    </row>
    <row r="185" spans="1:5" x14ac:dyDescent="0.25">
      <c r="A185" s="222"/>
      <c r="B185" s="205" t="s">
        <v>772</v>
      </c>
      <c r="C185" s="207" t="s">
        <v>66</v>
      </c>
      <c r="D185" s="202">
        <v>1.86</v>
      </c>
      <c r="E185" s="7"/>
    </row>
    <row r="186" spans="1:5" x14ac:dyDescent="0.25">
      <c r="A186" s="222"/>
      <c r="B186" s="205" t="s">
        <v>773</v>
      </c>
      <c r="C186" s="207" t="s">
        <v>66</v>
      </c>
      <c r="D186" s="202">
        <v>1.67</v>
      </c>
      <c r="E186" s="7"/>
    </row>
    <row r="187" spans="1:5" x14ac:dyDescent="0.25">
      <c r="A187" s="222"/>
      <c r="B187" s="205" t="s">
        <v>774</v>
      </c>
      <c r="C187" s="207" t="s">
        <v>66</v>
      </c>
      <c r="D187" s="202">
        <v>0.43680000000000002</v>
      </c>
      <c r="E187" s="7"/>
    </row>
    <row r="188" spans="1:5" x14ac:dyDescent="0.25">
      <c r="A188" s="202"/>
      <c r="B188" s="205" t="s">
        <v>399</v>
      </c>
      <c r="C188" s="207" t="s">
        <v>66</v>
      </c>
      <c r="D188" s="202">
        <v>3.74</v>
      </c>
      <c r="E188" s="7"/>
    </row>
    <row r="189" spans="1:5" ht="15.75" thickBot="1" x14ac:dyDescent="0.3">
      <c r="A189" s="307" t="s">
        <v>43</v>
      </c>
      <c r="B189" s="308"/>
      <c r="C189" s="309"/>
      <c r="D189" s="171">
        <f>SUM(D183:D188)</f>
        <v>16.316800000000001</v>
      </c>
      <c r="E189" s="7"/>
    </row>
    <row r="190" spans="1:5" ht="30" x14ac:dyDescent="0.25">
      <c r="A190" s="161" t="s">
        <v>267</v>
      </c>
      <c r="B190" s="162" t="str">
        <f>ORÇAMENTO!D55</f>
        <v>LANÇAMENTO/APLICAÇÃO/ADENSAMENTO MANUAL DE CONCRETO - (OBRAS CIVIS)</v>
      </c>
      <c r="C190" s="208"/>
      <c r="D190" s="202"/>
      <c r="E190" s="7"/>
    </row>
    <row r="191" spans="1:5" x14ac:dyDescent="0.25">
      <c r="A191" s="202"/>
      <c r="B191" s="205" t="s">
        <v>775</v>
      </c>
      <c r="C191" s="202"/>
      <c r="D191" s="207">
        <f>D189</f>
        <v>16.316800000000001</v>
      </c>
      <c r="E191" s="7"/>
    </row>
    <row r="192" spans="1:5" ht="15.75" thickBot="1" x14ac:dyDescent="0.3">
      <c r="A192" s="307" t="s">
        <v>43</v>
      </c>
      <c r="B192" s="308"/>
      <c r="C192" s="309"/>
      <c r="D192" s="171">
        <f>SUM(D191:D191)</f>
        <v>16.316800000000001</v>
      </c>
      <c r="E192" s="7"/>
    </row>
    <row r="193" spans="1:5" ht="30" x14ac:dyDescent="0.25">
      <c r="A193" s="161" t="s">
        <v>276</v>
      </c>
      <c r="B193" s="162" t="str">
        <f>ORÇAMENTO!D56</f>
        <v>FORRO EM LAJE PRE-MOLDADA INC.CAPEAMENTO/FERR.DISTRIB./ESCORAMENTO E FORMA/DESFORMA</v>
      </c>
      <c r="C193" s="208" t="s">
        <v>254</v>
      </c>
      <c r="D193" s="202" t="s">
        <v>736</v>
      </c>
      <c r="E193" s="7"/>
    </row>
    <row r="194" spans="1:5" x14ac:dyDescent="0.25">
      <c r="A194" s="202"/>
      <c r="B194" s="205" t="s">
        <v>698</v>
      </c>
      <c r="C194" s="202" t="s">
        <v>254</v>
      </c>
      <c r="D194" s="207">
        <v>33.5</v>
      </c>
      <c r="E194" s="7"/>
    </row>
    <row r="195" spans="1:5" ht="15.75" thickBot="1" x14ac:dyDescent="0.3">
      <c r="A195" s="307" t="s">
        <v>43</v>
      </c>
      <c r="B195" s="308"/>
      <c r="C195" s="309"/>
      <c r="D195" s="171">
        <f>D194</f>
        <v>33.5</v>
      </c>
      <c r="E195" s="7"/>
    </row>
    <row r="196" spans="1:5" ht="15.75" thickBot="1" x14ac:dyDescent="0.3">
      <c r="A196" s="155">
        <v>6</v>
      </c>
      <c r="B196" s="160" t="s">
        <v>507</v>
      </c>
      <c r="C196" s="160"/>
      <c r="D196" s="160"/>
      <c r="E196" s="7"/>
    </row>
    <row r="197" spans="1:5" ht="15.75" thickBot="1" x14ac:dyDescent="0.3">
      <c r="A197" s="174" t="s">
        <v>2</v>
      </c>
      <c r="B197" s="174" t="s">
        <v>446</v>
      </c>
      <c r="C197" s="174" t="s">
        <v>447</v>
      </c>
      <c r="D197" s="174" t="s">
        <v>448</v>
      </c>
      <c r="E197" s="7"/>
    </row>
    <row r="198" spans="1:5" x14ac:dyDescent="0.25">
      <c r="A198" s="163" t="str">
        <f>ORÇAMENTO!A60</f>
        <v>6.1</v>
      </c>
      <c r="B198" s="166" t="s">
        <v>404</v>
      </c>
      <c r="C198" s="207" t="s">
        <v>5</v>
      </c>
      <c r="D198" s="202">
        <v>2</v>
      </c>
      <c r="E198" s="7"/>
    </row>
    <row r="199" spans="1:5" x14ac:dyDescent="0.25">
      <c r="A199" s="202" t="str">
        <f>ORÇAMENTO!A61</f>
        <v>6.2</v>
      </c>
      <c r="B199" s="205" t="s">
        <v>405</v>
      </c>
      <c r="C199" s="202" t="s">
        <v>5</v>
      </c>
      <c r="D199" s="207">
        <v>27</v>
      </c>
      <c r="E199" s="7"/>
    </row>
    <row r="200" spans="1:5" x14ac:dyDescent="0.25">
      <c r="A200" s="163" t="str">
        <f>ORÇAMENTO!A62</f>
        <v>6.3</v>
      </c>
      <c r="B200" s="166" t="s">
        <v>406</v>
      </c>
      <c r="C200" s="207" t="s">
        <v>5</v>
      </c>
      <c r="D200" s="202">
        <v>1</v>
      </c>
      <c r="E200" s="7"/>
    </row>
    <row r="201" spans="1:5" x14ac:dyDescent="0.25">
      <c r="A201" s="202" t="str">
        <f>ORÇAMENTO!A63</f>
        <v>6.4</v>
      </c>
      <c r="B201" s="205" t="s">
        <v>407</v>
      </c>
      <c r="C201" s="202" t="s">
        <v>5</v>
      </c>
      <c r="D201" s="207">
        <v>2</v>
      </c>
      <c r="E201" s="7"/>
    </row>
    <row r="202" spans="1:5" x14ac:dyDescent="0.25">
      <c r="A202" s="163" t="str">
        <f>ORÇAMENTO!A64</f>
        <v>6.5</v>
      </c>
      <c r="B202" s="166" t="s">
        <v>711</v>
      </c>
      <c r="C202" s="207" t="s">
        <v>5</v>
      </c>
      <c r="D202" s="202">
        <v>71</v>
      </c>
      <c r="E202" s="7"/>
    </row>
    <row r="203" spans="1:5" x14ac:dyDescent="0.25">
      <c r="A203" s="202" t="str">
        <f>ORÇAMENTO!A65</f>
        <v>6.6</v>
      </c>
      <c r="B203" s="205" t="s">
        <v>706</v>
      </c>
      <c r="C203" s="202" t="s">
        <v>705</v>
      </c>
      <c r="D203" s="207">
        <v>1244.4000000000001</v>
      </c>
      <c r="E203" s="7"/>
    </row>
    <row r="204" spans="1:5" x14ac:dyDescent="0.25">
      <c r="A204" s="163" t="str">
        <f>ORÇAMENTO!A66</f>
        <v>6.7</v>
      </c>
      <c r="B204" s="166" t="s">
        <v>707</v>
      </c>
      <c r="C204" s="207" t="s">
        <v>705</v>
      </c>
      <c r="D204" s="202">
        <v>317.89999999999998</v>
      </c>
      <c r="E204" s="7"/>
    </row>
    <row r="205" spans="1:5" x14ac:dyDescent="0.25">
      <c r="A205" s="202" t="str">
        <f>ORÇAMENTO!A67</f>
        <v>6.8</v>
      </c>
      <c r="B205" s="205" t="s">
        <v>712</v>
      </c>
      <c r="C205" s="202" t="s">
        <v>705</v>
      </c>
      <c r="D205" s="207">
        <v>2</v>
      </c>
      <c r="E205" s="7"/>
    </row>
    <row r="206" spans="1:5" x14ac:dyDescent="0.25">
      <c r="A206" s="163" t="str">
        <f>ORÇAMENTO!A68</f>
        <v>6.9</v>
      </c>
      <c r="B206" t="s">
        <v>408</v>
      </c>
      <c r="C206" s="207" t="s">
        <v>5</v>
      </c>
      <c r="D206" s="202">
        <v>2</v>
      </c>
      <c r="E206" s="7"/>
    </row>
    <row r="207" spans="1:5" x14ac:dyDescent="0.25">
      <c r="A207" s="202" t="str">
        <f>ORÇAMENTO!A69</f>
        <v>6.10</v>
      </c>
      <c r="B207" s="205" t="s">
        <v>409</v>
      </c>
      <c r="C207" s="202" t="s">
        <v>5</v>
      </c>
      <c r="D207" s="207">
        <v>1</v>
      </c>
      <c r="E207" s="7"/>
    </row>
    <row r="208" spans="1:5" x14ac:dyDescent="0.25">
      <c r="A208" s="163" t="str">
        <f>ORÇAMENTO!A70</f>
        <v>6.11</v>
      </c>
      <c r="B208" s="166" t="s">
        <v>412</v>
      </c>
      <c r="C208" s="207" t="s">
        <v>5</v>
      </c>
      <c r="D208" s="202">
        <v>2</v>
      </c>
      <c r="E208" s="7"/>
    </row>
    <row r="209" spans="1:5" x14ac:dyDescent="0.25">
      <c r="A209" s="202" t="str">
        <f>ORÇAMENTO!A71</f>
        <v>6.12</v>
      </c>
      <c r="B209" s="205" t="s">
        <v>410</v>
      </c>
      <c r="C209" s="202" t="s">
        <v>5</v>
      </c>
      <c r="D209" s="207">
        <v>12</v>
      </c>
      <c r="E209" s="7"/>
    </row>
    <row r="210" spans="1:5" x14ac:dyDescent="0.25">
      <c r="A210" s="163" t="str">
        <f>ORÇAMENTO!A72</f>
        <v>6.13</v>
      </c>
      <c r="B210" s="166" t="s">
        <v>411</v>
      </c>
      <c r="C210" s="207" t="s">
        <v>5</v>
      </c>
      <c r="D210" s="202">
        <v>2</v>
      </c>
      <c r="E210" s="7"/>
    </row>
    <row r="211" spans="1:5" ht="30" x14ac:dyDescent="0.25">
      <c r="A211" s="202" t="str">
        <f>ORÇAMENTO!A73</f>
        <v>6.14</v>
      </c>
      <c r="B211" s="205" t="s">
        <v>413</v>
      </c>
      <c r="C211" s="202" t="s">
        <v>5</v>
      </c>
      <c r="D211" s="207">
        <v>1</v>
      </c>
      <c r="E211" s="7"/>
    </row>
    <row r="212" spans="1:5" x14ac:dyDescent="0.25">
      <c r="A212" s="163" t="str">
        <f>ORÇAMENTO!A74</f>
        <v>6.15</v>
      </c>
      <c r="B212" s="166" t="s">
        <v>414</v>
      </c>
      <c r="C212" s="207" t="s">
        <v>5</v>
      </c>
      <c r="D212" s="202">
        <v>2</v>
      </c>
      <c r="E212" s="7"/>
    </row>
    <row r="213" spans="1:5" x14ac:dyDescent="0.25">
      <c r="A213" s="202" t="str">
        <f>ORÇAMENTO!A75</f>
        <v>6.16</v>
      </c>
      <c r="B213" s="205" t="s">
        <v>415</v>
      </c>
      <c r="C213" s="202" t="s">
        <v>5</v>
      </c>
      <c r="D213" s="207">
        <v>14</v>
      </c>
      <c r="E213" s="7"/>
    </row>
    <row r="214" spans="1:5" x14ac:dyDescent="0.25">
      <c r="A214" s="163" t="str">
        <f>ORÇAMENTO!A76</f>
        <v>6.17</v>
      </c>
      <c r="B214" s="166" t="s">
        <v>416</v>
      </c>
      <c r="C214" s="207" t="s">
        <v>5</v>
      </c>
      <c r="D214" s="202">
        <v>1</v>
      </c>
      <c r="E214" s="7"/>
    </row>
    <row r="215" spans="1:5" x14ac:dyDescent="0.25">
      <c r="A215" s="202" t="str">
        <f>ORÇAMENTO!A77</f>
        <v>6.18</v>
      </c>
      <c r="B215" s="205" t="s">
        <v>417</v>
      </c>
      <c r="C215" s="202" t="s">
        <v>5</v>
      </c>
      <c r="D215" s="207">
        <v>2</v>
      </c>
      <c r="E215" s="7"/>
    </row>
    <row r="216" spans="1:5" x14ac:dyDescent="0.25">
      <c r="A216" s="163" t="str">
        <f>ORÇAMENTO!A78</f>
        <v>6.19</v>
      </c>
      <c r="B216" s="166" t="s">
        <v>150</v>
      </c>
      <c r="C216" s="207" t="s">
        <v>5</v>
      </c>
      <c r="D216" s="202">
        <v>69.400000000000006</v>
      </c>
      <c r="E216" s="7"/>
    </row>
    <row r="217" spans="1:5" x14ac:dyDescent="0.25">
      <c r="A217" s="202" t="str">
        <f>ORÇAMENTO!A79</f>
        <v>6.20</v>
      </c>
      <c r="B217" s="205" t="s">
        <v>418</v>
      </c>
      <c r="C217" s="202" t="s">
        <v>5</v>
      </c>
      <c r="D217" s="207">
        <v>3</v>
      </c>
      <c r="E217" s="7"/>
    </row>
    <row r="218" spans="1:5" ht="30" x14ac:dyDescent="0.25">
      <c r="A218" s="163" t="str">
        <f>ORÇAMENTO!A80</f>
        <v>6.21</v>
      </c>
      <c r="B218" s="166" t="s">
        <v>776</v>
      </c>
      <c r="C218" s="207" t="s">
        <v>5</v>
      </c>
      <c r="D218" s="202">
        <v>10</v>
      </c>
      <c r="E218" s="7"/>
    </row>
    <row r="219" spans="1:5" ht="30" x14ac:dyDescent="0.25">
      <c r="A219" s="202" t="str">
        <f>ORÇAMENTO!A81</f>
        <v>6.22</v>
      </c>
      <c r="B219" s="205" t="s">
        <v>78</v>
      </c>
      <c r="C219" s="202" t="s">
        <v>5</v>
      </c>
      <c r="D219" s="207">
        <v>15</v>
      </c>
      <c r="E219" s="7"/>
    </row>
    <row r="220" spans="1:5" x14ac:dyDescent="0.25">
      <c r="A220" s="163" t="str">
        <f>ORÇAMENTO!A82</f>
        <v>6.23</v>
      </c>
      <c r="B220" s="166" t="s">
        <v>777</v>
      </c>
      <c r="C220" s="207" t="s">
        <v>705</v>
      </c>
      <c r="D220" s="202">
        <v>30</v>
      </c>
      <c r="E220" s="7"/>
    </row>
    <row r="221" spans="1:5" x14ac:dyDescent="0.25">
      <c r="A221" s="202" t="str">
        <f>ORÇAMENTO!A83</f>
        <v>6.24</v>
      </c>
      <c r="B221" s="205" t="s">
        <v>419</v>
      </c>
      <c r="C221" s="202" t="s">
        <v>705</v>
      </c>
      <c r="D221" s="207">
        <v>2</v>
      </c>
      <c r="E221" s="7"/>
    </row>
    <row r="222" spans="1:5" x14ac:dyDescent="0.25">
      <c r="A222" s="163" t="str">
        <f>ORÇAMENTO!A84</f>
        <v>6.25</v>
      </c>
      <c r="B222" s="166" t="s">
        <v>708</v>
      </c>
      <c r="C222" s="207" t="s">
        <v>705</v>
      </c>
      <c r="D222" s="202">
        <v>3</v>
      </c>
      <c r="E222" s="7"/>
    </row>
    <row r="223" spans="1:5" x14ac:dyDescent="0.25">
      <c r="A223" s="202" t="str">
        <f>ORÇAMENTO!A85</f>
        <v>6.26</v>
      </c>
      <c r="B223" s="205" t="s">
        <v>709</v>
      </c>
      <c r="C223" s="202" t="s">
        <v>5</v>
      </c>
      <c r="D223" s="207">
        <v>2</v>
      </c>
      <c r="E223" s="7"/>
    </row>
    <row r="224" spans="1:5" x14ac:dyDescent="0.25">
      <c r="A224" s="163" t="str">
        <f>ORÇAMENTO!A86</f>
        <v>6.27</v>
      </c>
      <c r="B224" s="166" t="s">
        <v>420</v>
      </c>
      <c r="C224" s="207" t="s">
        <v>5</v>
      </c>
      <c r="D224" s="202">
        <v>2</v>
      </c>
      <c r="E224" s="7"/>
    </row>
    <row r="225" spans="1:5" ht="30" x14ac:dyDescent="0.25">
      <c r="A225" s="202" t="str">
        <f>ORÇAMENTO!A87</f>
        <v>6.28</v>
      </c>
      <c r="B225" s="205" t="s">
        <v>778</v>
      </c>
      <c r="C225" s="202" t="s">
        <v>5</v>
      </c>
      <c r="D225" s="207">
        <v>5</v>
      </c>
      <c r="E225" s="7"/>
    </row>
    <row r="226" spans="1:5" x14ac:dyDescent="0.25">
      <c r="A226" s="163" t="str">
        <f>ORÇAMENTO!A88</f>
        <v>6.29</v>
      </c>
      <c r="B226" s="166" t="s">
        <v>779</v>
      </c>
      <c r="C226" s="207" t="s">
        <v>5</v>
      </c>
      <c r="D226" s="202">
        <v>4</v>
      </c>
      <c r="E226" s="7"/>
    </row>
    <row r="227" spans="1:5" x14ac:dyDescent="0.25">
      <c r="A227" s="202" t="str">
        <f>ORÇAMENTO!A89</f>
        <v>6.30</v>
      </c>
      <c r="B227" s="205" t="s">
        <v>421</v>
      </c>
      <c r="C227" s="202" t="s">
        <v>5</v>
      </c>
      <c r="D227" s="207">
        <v>1</v>
      </c>
      <c r="E227" s="7"/>
    </row>
    <row r="228" spans="1:5" x14ac:dyDescent="0.25">
      <c r="A228" s="163" t="str">
        <f>ORÇAMENTO!A90</f>
        <v>6.31</v>
      </c>
      <c r="B228" s="166" t="s">
        <v>710</v>
      </c>
      <c r="C228" s="207" t="s">
        <v>5</v>
      </c>
      <c r="D228" s="202">
        <v>1</v>
      </c>
      <c r="E228" s="7"/>
    </row>
    <row r="229" spans="1:5" x14ac:dyDescent="0.25">
      <c r="A229" s="202" t="str">
        <f>ORÇAMENTO!A91</f>
        <v>6.32</v>
      </c>
      <c r="B229" s="205" t="s">
        <v>422</v>
      </c>
      <c r="C229" s="202" t="s">
        <v>5</v>
      </c>
      <c r="D229" s="207">
        <v>1</v>
      </c>
      <c r="E229" s="7"/>
    </row>
    <row r="230" spans="1:5" ht="15.75" thickBot="1" x14ac:dyDescent="0.3">
      <c r="A230" s="163" t="str">
        <f>ORÇAMENTO!A92</f>
        <v>6.33</v>
      </c>
      <c r="B230" s="166" t="s">
        <v>398</v>
      </c>
      <c r="C230" s="207" t="s">
        <v>5</v>
      </c>
      <c r="D230" s="202">
        <v>6</v>
      </c>
      <c r="E230" s="7"/>
    </row>
    <row r="231" spans="1:5" ht="15.75" thickBot="1" x14ac:dyDescent="0.3">
      <c r="A231" s="210">
        <v>7</v>
      </c>
      <c r="B231" s="210" t="s">
        <v>508</v>
      </c>
      <c r="C231" s="160"/>
      <c r="D231" s="160"/>
      <c r="E231" s="7"/>
    </row>
    <row r="232" spans="1:5" ht="15.75" thickBot="1" x14ac:dyDescent="0.3">
      <c r="A232" s="174" t="s">
        <v>2</v>
      </c>
      <c r="B232" s="174" t="s">
        <v>446</v>
      </c>
      <c r="C232" s="174" t="s">
        <v>447</v>
      </c>
      <c r="D232" s="174" t="s">
        <v>448</v>
      </c>
      <c r="E232" s="7"/>
    </row>
    <row r="233" spans="1:5" x14ac:dyDescent="0.25">
      <c r="A233" s="163" t="s">
        <v>151</v>
      </c>
      <c r="B233" s="166" t="s">
        <v>133</v>
      </c>
      <c r="C233" s="207"/>
      <c r="D233" s="202"/>
      <c r="E233" s="7"/>
    </row>
    <row r="234" spans="1:5" x14ac:dyDescent="0.25">
      <c r="A234" s="202" t="s">
        <v>152</v>
      </c>
      <c r="B234" s="205" t="s">
        <v>134</v>
      </c>
      <c r="C234" s="202"/>
      <c r="D234" s="207"/>
      <c r="E234" s="7"/>
    </row>
    <row r="235" spans="1:5" ht="30" x14ac:dyDescent="0.25">
      <c r="A235" s="163" t="s">
        <v>153</v>
      </c>
      <c r="B235" s="166" t="s">
        <v>135</v>
      </c>
      <c r="C235" s="207" t="s">
        <v>378</v>
      </c>
      <c r="D235" s="202">
        <v>2</v>
      </c>
      <c r="E235" s="7"/>
    </row>
    <row r="236" spans="1:5" x14ac:dyDescent="0.25">
      <c r="A236" s="202" t="s">
        <v>155</v>
      </c>
      <c r="B236" s="205" t="s">
        <v>745</v>
      </c>
      <c r="C236" s="202" t="s">
        <v>378</v>
      </c>
      <c r="D236" s="207">
        <v>2</v>
      </c>
      <c r="E236" s="7"/>
    </row>
    <row r="237" spans="1:5" x14ac:dyDescent="0.25">
      <c r="A237" s="163" t="s">
        <v>156</v>
      </c>
      <c r="B237" s="166" t="s">
        <v>746</v>
      </c>
      <c r="C237" s="207" t="s">
        <v>747</v>
      </c>
      <c r="D237" s="202">
        <v>2</v>
      </c>
      <c r="E237" s="7"/>
    </row>
    <row r="238" spans="1:5" ht="30" x14ac:dyDescent="0.25">
      <c r="A238" s="202" t="s">
        <v>157</v>
      </c>
      <c r="B238" s="205" t="s">
        <v>136</v>
      </c>
      <c r="C238" s="202" t="s">
        <v>378</v>
      </c>
      <c r="D238" s="207">
        <v>2</v>
      </c>
      <c r="E238" s="7"/>
    </row>
    <row r="239" spans="1:5" x14ac:dyDescent="0.25">
      <c r="A239" s="163" t="s">
        <v>158</v>
      </c>
      <c r="B239" s="166" t="s">
        <v>137</v>
      </c>
      <c r="C239" s="207" t="s">
        <v>378</v>
      </c>
      <c r="D239" s="202">
        <v>2</v>
      </c>
      <c r="E239" s="7"/>
    </row>
    <row r="240" spans="1:5" x14ac:dyDescent="0.25">
      <c r="A240" s="202" t="s">
        <v>159</v>
      </c>
      <c r="B240" s="205" t="s">
        <v>138</v>
      </c>
      <c r="C240" s="202"/>
      <c r="D240" s="207"/>
      <c r="E240" s="7"/>
    </row>
    <row r="241" spans="1:5" x14ac:dyDescent="0.25">
      <c r="A241" s="163" t="s">
        <v>160</v>
      </c>
      <c r="B241" s="166" t="s">
        <v>139</v>
      </c>
      <c r="C241" s="207" t="s">
        <v>378</v>
      </c>
      <c r="D241" s="202">
        <v>2</v>
      </c>
      <c r="E241" s="7"/>
    </row>
    <row r="242" spans="1:5" x14ac:dyDescent="0.25">
      <c r="A242" s="202" t="s">
        <v>161</v>
      </c>
      <c r="B242" s="205" t="s">
        <v>748</v>
      </c>
      <c r="C242" s="202" t="s">
        <v>378</v>
      </c>
      <c r="D242" s="207">
        <v>2</v>
      </c>
      <c r="E242" s="7"/>
    </row>
    <row r="243" spans="1:5" x14ac:dyDescent="0.25">
      <c r="A243" s="163" t="s">
        <v>162</v>
      </c>
      <c r="B243" s="166" t="s">
        <v>749</v>
      </c>
      <c r="C243" s="207" t="s">
        <v>750</v>
      </c>
      <c r="D243" s="202">
        <v>2</v>
      </c>
      <c r="E243" s="7"/>
    </row>
    <row r="244" spans="1:5" x14ac:dyDescent="0.25">
      <c r="A244" s="202" t="s">
        <v>163</v>
      </c>
      <c r="B244" s="205" t="s">
        <v>751</v>
      </c>
      <c r="C244" s="202" t="s">
        <v>378</v>
      </c>
      <c r="D244" s="207">
        <v>2</v>
      </c>
      <c r="E244" s="7"/>
    </row>
    <row r="245" spans="1:5" x14ac:dyDescent="0.25">
      <c r="A245" s="163" t="s">
        <v>164</v>
      </c>
      <c r="B245" s="166" t="s">
        <v>140</v>
      </c>
      <c r="C245" s="207" t="s">
        <v>378</v>
      </c>
      <c r="D245" s="202">
        <v>2</v>
      </c>
      <c r="E245" s="7"/>
    </row>
    <row r="246" spans="1:5" x14ac:dyDescent="0.25">
      <c r="A246" s="202" t="s">
        <v>165</v>
      </c>
      <c r="B246" s="205" t="s">
        <v>141</v>
      </c>
      <c r="C246" s="202" t="s">
        <v>378</v>
      </c>
      <c r="D246" s="207">
        <v>2</v>
      </c>
      <c r="E246" s="7"/>
    </row>
    <row r="247" spans="1:5" x14ac:dyDescent="0.25">
      <c r="A247" s="163" t="s">
        <v>166</v>
      </c>
      <c r="B247" s="166" t="s">
        <v>142</v>
      </c>
      <c r="C247" s="207"/>
      <c r="D247" s="202"/>
      <c r="E247" s="7"/>
    </row>
    <row r="248" spans="1:5" x14ac:dyDescent="0.25">
      <c r="A248" s="202" t="s">
        <v>167</v>
      </c>
      <c r="B248" s="205" t="s">
        <v>752</v>
      </c>
      <c r="C248" s="202" t="s">
        <v>378</v>
      </c>
      <c r="D248" s="207">
        <v>1</v>
      </c>
      <c r="E248" s="7"/>
    </row>
    <row r="249" spans="1:5" x14ac:dyDescent="0.25">
      <c r="A249" s="163" t="s">
        <v>168</v>
      </c>
      <c r="B249" s="166" t="s">
        <v>143</v>
      </c>
      <c r="C249" s="207" t="s">
        <v>378</v>
      </c>
      <c r="D249" s="202">
        <v>1</v>
      </c>
      <c r="E249" s="7"/>
    </row>
    <row r="250" spans="1:5" x14ac:dyDescent="0.25">
      <c r="A250" s="202" t="s">
        <v>169</v>
      </c>
      <c r="B250" s="205" t="s">
        <v>753</v>
      </c>
      <c r="C250" s="202" t="s">
        <v>378</v>
      </c>
      <c r="D250" s="207">
        <v>1</v>
      </c>
      <c r="E250" s="7"/>
    </row>
    <row r="251" spans="1:5" x14ac:dyDescent="0.25">
      <c r="A251" s="163" t="s">
        <v>170</v>
      </c>
      <c r="B251" s="166" t="s">
        <v>784</v>
      </c>
      <c r="C251" s="207"/>
      <c r="D251" s="202"/>
      <c r="E251" s="7"/>
    </row>
    <row r="252" spans="1:5" x14ac:dyDescent="0.25">
      <c r="A252" s="202" t="s">
        <v>171</v>
      </c>
      <c r="B252" s="205" t="s">
        <v>343</v>
      </c>
      <c r="C252" s="202" t="s">
        <v>378</v>
      </c>
      <c r="D252" s="207">
        <v>1</v>
      </c>
      <c r="E252" s="7"/>
    </row>
    <row r="253" spans="1:5" x14ac:dyDescent="0.25">
      <c r="A253" s="163" t="s">
        <v>172</v>
      </c>
      <c r="B253" s="166" t="s">
        <v>344</v>
      </c>
      <c r="C253" s="207"/>
      <c r="D253" s="202"/>
      <c r="E253" s="7"/>
    </row>
    <row r="254" spans="1:5" x14ac:dyDescent="0.25">
      <c r="A254" s="202" t="s">
        <v>173</v>
      </c>
      <c r="B254" s="205" t="s">
        <v>345</v>
      </c>
      <c r="C254" s="202" t="s">
        <v>378</v>
      </c>
      <c r="D254" s="207">
        <v>2</v>
      </c>
      <c r="E254" s="7"/>
    </row>
    <row r="255" spans="1:5" x14ac:dyDescent="0.25">
      <c r="A255" s="163" t="s">
        <v>174</v>
      </c>
      <c r="B255" s="166" t="s">
        <v>346</v>
      </c>
      <c r="C255" s="207" t="s">
        <v>378</v>
      </c>
      <c r="D255" s="202">
        <v>1</v>
      </c>
      <c r="E255" s="7"/>
    </row>
    <row r="256" spans="1:5" x14ac:dyDescent="0.25">
      <c r="A256" s="202" t="s">
        <v>175</v>
      </c>
      <c r="B256" s="205" t="s">
        <v>754</v>
      </c>
      <c r="C256" s="202" t="s">
        <v>378</v>
      </c>
      <c r="D256" s="207">
        <v>1</v>
      </c>
      <c r="E256" s="7"/>
    </row>
    <row r="257" spans="1:5" x14ac:dyDescent="0.25">
      <c r="A257" s="163" t="s">
        <v>176</v>
      </c>
      <c r="B257" s="166" t="s">
        <v>755</v>
      </c>
      <c r="C257" s="207" t="s">
        <v>378</v>
      </c>
      <c r="D257" s="202">
        <v>1</v>
      </c>
      <c r="E257" s="7"/>
    </row>
    <row r="258" spans="1:5" x14ac:dyDescent="0.25">
      <c r="A258" s="202" t="s">
        <v>177</v>
      </c>
      <c r="B258" s="205" t="s">
        <v>347</v>
      </c>
      <c r="C258" s="202"/>
      <c r="D258" s="207"/>
      <c r="E258" s="7"/>
    </row>
    <row r="259" spans="1:5" x14ac:dyDescent="0.25">
      <c r="A259" s="163" t="s">
        <v>178</v>
      </c>
      <c r="B259" s="166" t="s">
        <v>348</v>
      </c>
      <c r="C259" s="207"/>
      <c r="D259" s="202"/>
      <c r="E259" s="7"/>
    </row>
    <row r="260" spans="1:5" x14ac:dyDescent="0.25">
      <c r="A260" s="202" t="s">
        <v>179</v>
      </c>
      <c r="B260" s="205" t="s">
        <v>349</v>
      </c>
      <c r="C260" s="202" t="s">
        <v>25</v>
      </c>
      <c r="D260" s="207">
        <v>15</v>
      </c>
      <c r="E260" s="7"/>
    </row>
    <row r="261" spans="1:5" x14ac:dyDescent="0.25">
      <c r="A261" s="163" t="s">
        <v>180</v>
      </c>
      <c r="B261" s="166" t="s">
        <v>350</v>
      </c>
      <c r="C261" s="207" t="s">
        <v>130</v>
      </c>
      <c r="D261" s="202">
        <v>22.6</v>
      </c>
      <c r="E261" s="7"/>
    </row>
    <row r="262" spans="1:5" x14ac:dyDescent="0.25">
      <c r="A262" s="202" t="s">
        <v>181</v>
      </c>
      <c r="B262" s="205" t="s">
        <v>351</v>
      </c>
      <c r="C262" s="202" t="s">
        <v>130</v>
      </c>
      <c r="D262" s="207">
        <v>9.4</v>
      </c>
      <c r="E262" s="7"/>
    </row>
    <row r="263" spans="1:5" x14ac:dyDescent="0.25">
      <c r="A263" s="163" t="s">
        <v>182</v>
      </c>
      <c r="B263" s="166" t="s">
        <v>352</v>
      </c>
      <c r="C263" s="207"/>
      <c r="D263" s="202"/>
      <c r="E263" s="7"/>
    </row>
    <row r="264" spans="1:5" x14ac:dyDescent="0.25">
      <c r="A264" s="202" t="s">
        <v>183</v>
      </c>
      <c r="B264" s="205" t="s">
        <v>756</v>
      </c>
      <c r="C264" s="202" t="s">
        <v>378</v>
      </c>
      <c r="D264" s="207">
        <v>1</v>
      </c>
      <c r="E264" s="7"/>
    </row>
    <row r="265" spans="1:5" x14ac:dyDescent="0.25">
      <c r="A265" s="163" t="s">
        <v>184</v>
      </c>
      <c r="B265" s="166" t="s">
        <v>353</v>
      </c>
      <c r="C265" s="207" t="s">
        <v>378</v>
      </c>
      <c r="D265" s="202">
        <v>2</v>
      </c>
      <c r="E265" s="7"/>
    </row>
    <row r="266" spans="1:5" x14ac:dyDescent="0.25">
      <c r="A266" s="202" t="s">
        <v>185</v>
      </c>
      <c r="B266" s="205" t="s">
        <v>354</v>
      </c>
      <c r="C266" s="202" t="s">
        <v>378</v>
      </c>
      <c r="D266" s="207">
        <v>2</v>
      </c>
      <c r="E266" s="7"/>
    </row>
    <row r="267" spans="1:5" x14ac:dyDescent="0.25">
      <c r="A267" s="163" t="s">
        <v>186</v>
      </c>
      <c r="B267" s="166" t="s">
        <v>355</v>
      </c>
      <c r="C267" s="207"/>
      <c r="D267" s="202"/>
      <c r="E267" s="7"/>
    </row>
    <row r="268" spans="1:5" x14ac:dyDescent="0.25">
      <c r="A268" s="202" t="s">
        <v>187</v>
      </c>
      <c r="B268" s="205" t="s">
        <v>356</v>
      </c>
      <c r="C268" s="202" t="s">
        <v>378</v>
      </c>
      <c r="D268" s="207">
        <v>2</v>
      </c>
      <c r="E268" s="7"/>
    </row>
    <row r="269" spans="1:5" x14ac:dyDescent="0.25">
      <c r="A269" s="163" t="s">
        <v>188</v>
      </c>
      <c r="B269" s="166" t="s">
        <v>357</v>
      </c>
      <c r="C269" s="207" t="s">
        <v>378</v>
      </c>
      <c r="D269" s="202">
        <v>1</v>
      </c>
      <c r="E269" s="7"/>
    </row>
    <row r="270" spans="1:5" x14ac:dyDescent="0.25">
      <c r="A270" s="202" t="s">
        <v>189</v>
      </c>
      <c r="B270" s="205" t="s">
        <v>113</v>
      </c>
      <c r="C270" s="202"/>
      <c r="D270" s="207"/>
      <c r="E270" s="7"/>
    </row>
    <row r="271" spans="1:5" x14ac:dyDescent="0.25">
      <c r="A271" s="163" t="s">
        <v>190</v>
      </c>
      <c r="B271" s="166" t="s">
        <v>358</v>
      </c>
      <c r="C271" s="207" t="s">
        <v>378</v>
      </c>
      <c r="D271" s="202">
        <v>1</v>
      </c>
      <c r="E271" s="7"/>
    </row>
    <row r="272" spans="1:5" x14ac:dyDescent="0.25">
      <c r="A272" s="202" t="s">
        <v>191</v>
      </c>
      <c r="B272" s="205" t="s">
        <v>359</v>
      </c>
      <c r="C272" s="202"/>
      <c r="D272" s="207"/>
      <c r="E272" s="7"/>
    </row>
    <row r="273" spans="1:5" x14ac:dyDescent="0.25">
      <c r="A273" s="163" t="s">
        <v>192</v>
      </c>
      <c r="B273" s="166" t="s">
        <v>757</v>
      </c>
      <c r="C273" s="207" t="s">
        <v>378</v>
      </c>
      <c r="D273" s="202">
        <v>3</v>
      </c>
      <c r="E273" s="7"/>
    </row>
    <row r="274" spans="1:5" x14ac:dyDescent="0.25">
      <c r="A274" s="202" t="s">
        <v>193</v>
      </c>
      <c r="B274" s="205" t="s">
        <v>360</v>
      </c>
      <c r="C274" s="202" t="s">
        <v>378</v>
      </c>
      <c r="D274" s="207">
        <v>6</v>
      </c>
      <c r="E274" s="7"/>
    </row>
    <row r="275" spans="1:5" x14ac:dyDescent="0.25">
      <c r="A275" s="163" t="s">
        <v>194</v>
      </c>
      <c r="B275" s="166" t="s">
        <v>361</v>
      </c>
      <c r="C275" s="207" t="s">
        <v>378</v>
      </c>
      <c r="D275" s="202">
        <v>6</v>
      </c>
      <c r="E275" s="7"/>
    </row>
    <row r="276" spans="1:5" x14ac:dyDescent="0.25">
      <c r="A276" s="202" t="s">
        <v>195</v>
      </c>
      <c r="B276" s="205" t="s">
        <v>362</v>
      </c>
      <c r="C276" s="202" t="s">
        <v>378</v>
      </c>
      <c r="D276" s="207">
        <v>2</v>
      </c>
      <c r="E276" s="7"/>
    </row>
    <row r="277" spans="1:5" x14ac:dyDescent="0.25">
      <c r="A277" s="163" t="s">
        <v>196</v>
      </c>
      <c r="B277" s="166" t="s">
        <v>758</v>
      </c>
      <c r="C277" s="207" t="s">
        <v>378</v>
      </c>
      <c r="D277" s="202">
        <v>2</v>
      </c>
      <c r="E277" s="7"/>
    </row>
    <row r="278" spans="1:5" x14ac:dyDescent="0.25">
      <c r="A278" s="202" t="s">
        <v>197</v>
      </c>
      <c r="B278" s="205" t="s">
        <v>363</v>
      </c>
      <c r="C278" s="202"/>
      <c r="D278" s="207"/>
      <c r="E278" s="7"/>
    </row>
    <row r="279" spans="1:5" x14ac:dyDescent="0.25">
      <c r="A279" s="163" t="s">
        <v>198</v>
      </c>
      <c r="B279" s="166" t="s">
        <v>364</v>
      </c>
      <c r="C279" s="207" t="s">
        <v>378</v>
      </c>
      <c r="D279" s="202">
        <v>3</v>
      </c>
      <c r="E279" s="7"/>
    </row>
    <row r="280" spans="1:5" x14ac:dyDescent="0.25">
      <c r="A280" s="202" t="s">
        <v>199</v>
      </c>
      <c r="B280" s="205" t="s">
        <v>365</v>
      </c>
      <c r="C280" s="202" t="s">
        <v>378</v>
      </c>
      <c r="D280" s="207">
        <v>1</v>
      </c>
      <c r="E280" s="7"/>
    </row>
    <row r="281" spans="1:5" x14ac:dyDescent="0.25">
      <c r="A281" s="163" t="s">
        <v>200</v>
      </c>
      <c r="B281" s="166" t="s">
        <v>366</v>
      </c>
      <c r="C281" s="207" t="s">
        <v>378</v>
      </c>
      <c r="D281" s="202">
        <v>1</v>
      </c>
      <c r="E281" s="7"/>
    </row>
    <row r="282" spans="1:5" x14ac:dyDescent="0.25">
      <c r="A282" s="202" t="s">
        <v>201</v>
      </c>
      <c r="B282" s="205" t="s">
        <v>112</v>
      </c>
      <c r="C282" s="202"/>
      <c r="D282" s="207"/>
      <c r="E282" s="7"/>
    </row>
    <row r="283" spans="1:5" x14ac:dyDescent="0.25">
      <c r="A283" s="163" t="s">
        <v>202</v>
      </c>
      <c r="B283" s="166" t="s">
        <v>114</v>
      </c>
      <c r="C283" s="207"/>
      <c r="D283" s="202"/>
      <c r="E283" s="7"/>
    </row>
    <row r="284" spans="1:5" x14ac:dyDescent="0.25">
      <c r="A284" s="202" t="s">
        <v>203</v>
      </c>
      <c r="B284" s="205" t="s">
        <v>115</v>
      </c>
      <c r="C284" s="202" t="s">
        <v>378</v>
      </c>
      <c r="D284" s="207">
        <v>3</v>
      </c>
      <c r="E284" s="7"/>
    </row>
    <row r="285" spans="1:5" x14ac:dyDescent="0.25">
      <c r="A285" s="163" t="s">
        <v>204</v>
      </c>
      <c r="B285" s="166" t="s">
        <v>759</v>
      </c>
      <c r="C285" s="207"/>
      <c r="D285" s="202"/>
      <c r="E285" s="7"/>
    </row>
    <row r="286" spans="1:5" x14ac:dyDescent="0.25">
      <c r="A286" s="202" t="s">
        <v>205</v>
      </c>
      <c r="B286" s="205" t="s">
        <v>760</v>
      </c>
      <c r="C286" s="202" t="s">
        <v>378</v>
      </c>
      <c r="D286" s="207">
        <v>3</v>
      </c>
      <c r="E286" s="7"/>
    </row>
    <row r="287" spans="1:5" x14ac:dyDescent="0.25">
      <c r="A287" s="163" t="s">
        <v>206</v>
      </c>
      <c r="B287" s="166"/>
      <c r="C287" s="207"/>
      <c r="D287" s="202"/>
      <c r="E287" s="7"/>
    </row>
    <row r="288" spans="1:5" x14ac:dyDescent="0.25">
      <c r="A288" s="202" t="s">
        <v>207</v>
      </c>
      <c r="B288" s="205" t="s">
        <v>116</v>
      </c>
      <c r="C288" s="202" t="s">
        <v>378</v>
      </c>
      <c r="D288" s="207">
        <v>3</v>
      </c>
      <c r="E288" s="7"/>
    </row>
    <row r="289" spans="1:5" x14ac:dyDescent="0.25">
      <c r="A289" s="163" t="s">
        <v>208</v>
      </c>
      <c r="B289" s="166" t="s">
        <v>117</v>
      </c>
      <c r="C289" s="207"/>
      <c r="D289" s="202"/>
      <c r="E289" s="7"/>
    </row>
    <row r="290" spans="1:5" x14ac:dyDescent="0.25">
      <c r="A290" s="202" t="s">
        <v>209</v>
      </c>
      <c r="B290" s="205" t="s">
        <v>144</v>
      </c>
      <c r="C290" s="202" t="s">
        <v>378</v>
      </c>
      <c r="D290" s="207">
        <v>1</v>
      </c>
      <c r="E290" s="7"/>
    </row>
    <row r="291" spans="1:5" x14ac:dyDescent="0.25">
      <c r="A291" s="163" t="s">
        <v>210</v>
      </c>
      <c r="B291" s="166" t="s">
        <v>145</v>
      </c>
      <c r="C291" s="207" t="s">
        <v>378</v>
      </c>
      <c r="D291" s="202">
        <v>1</v>
      </c>
      <c r="E291" s="7"/>
    </row>
    <row r="292" spans="1:5" x14ac:dyDescent="0.25">
      <c r="A292" s="202" t="s">
        <v>211</v>
      </c>
      <c r="B292" s="205" t="s">
        <v>146</v>
      </c>
      <c r="C292" s="202" t="s">
        <v>15</v>
      </c>
      <c r="D292" s="207">
        <v>0.41000000000000003</v>
      </c>
      <c r="E292" s="7"/>
    </row>
    <row r="293" spans="1:5" ht="30" x14ac:dyDescent="0.25">
      <c r="A293" s="163" t="s">
        <v>212</v>
      </c>
      <c r="B293" s="166" t="s">
        <v>147</v>
      </c>
      <c r="C293" s="207" t="s">
        <v>55</v>
      </c>
      <c r="D293" s="202">
        <v>2.0500000000000004E-2</v>
      </c>
      <c r="E293" s="7"/>
    </row>
    <row r="294" spans="1:5" ht="30" x14ac:dyDescent="0.25">
      <c r="A294" s="202" t="s">
        <v>213</v>
      </c>
      <c r="B294" s="205" t="s">
        <v>148</v>
      </c>
      <c r="C294" s="202" t="s">
        <v>15</v>
      </c>
      <c r="D294" s="207">
        <v>0.41000000000000003</v>
      </c>
      <c r="E294" s="7"/>
    </row>
    <row r="295" spans="1:5" x14ac:dyDescent="0.25">
      <c r="A295" s="163" t="s">
        <v>214</v>
      </c>
      <c r="B295" s="166" t="s">
        <v>149</v>
      </c>
      <c r="C295" s="207" t="s">
        <v>66</v>
      </c>
      <c r="D295" s="202">
        <v>0.36900000000000005</v>
      </c>
      <c r="E295" s="7"/>
    </row>
    <row r="296" spans="1:5" ht="30" x14ac:dyDescent="0.25">
      <c r="A296" s="202" t="s">
        <v>215</v>
      </c>
      <c r="B296" s="205" t="s">
        <v>762</v>
      </c>
      <c r="C296" s="202" t="s">
        <v>378</v>
      </c>
      <c r="D296" s="207">
        <v>1</v>
      </c>
      <c r="E296" s="7"/>
    </row>
    <row r="297" spans="1:5" x14ac:dyDescent="0.25">
      <c r="A297" s="163" t="s">
        <v>216</v>
      </c>
      <c r="B297" s="166" t="s">
        <v>766</v>
      </c>
      <c r="C297" s="207" t="s">
        <v>378</v>
      </c>
      <c r="D297" s="202">
        <v>1</v>
      </c>
      <c r="E297" s="7"/>
    </row>
    <row r="298" spans="1:5" x14ac:dyDescent="0.25">
      <c r="A298" s="202" t="s">
        <v>217</v>
      </c>
      <c r="B298" s="205" t="s">
        <v>761</v>
      </c>
      <c r="C298" s="202" t="s">
        <v>378</v>
      </c>
      <c r="D298" s="207">
        <v>1</v>
      </c>
      <c r="E298" s="7"/>
    </row>
    <row r="299" spans="1:5" x14ac:dyDescent="0.25">
      <c r="A299" s="163" t="s">
        <v>218</v>
      </c>
      <c r="B299" s="166" t="s">
        <v>763</v>
      </c>
      <c r="C299" s="207" t="s">
        <v>378</v>
      </c>
      <c r="D299" s="202">
        <v>1</v>
      </c>
      <c r="E299" s="7"/>
    </row>
    <row r="300" spans="1:5" x14ac:dyDescent="0.25">
      <c r="A300" s="202" t="s">
        <v>219</v>
      </c>
      <c r="B300" s="205" t="s">
        <v>764</v>
      </c>
      <c r="C300" s="202" t="s">
        <v>378</v>
      </c>
      <c r="D300" s="207">
        <v>1</v>
      </c>
      <c r="E300" s="7"/>
    </row>
    <row r="301" spans="1:5" x14ac:dyDescent="0.25">
      <c r="A301" s="163" t="s">
        <v>220</v>
      </c>
      <c r="B301" s="166" t="s">
        <v>765</v>
      </c>
      <c r="C301" s="207" t="s">
        <v>378</v>
      </c>
      <c r="D301" s="202">
        <v>1</v>
      </c>
      <c r="E301" s="7"/>
    </row>
    <row r="302" spans="1:5" x14ac:dyDescent="0.25">
      <c r="A302" s="202" t="s">
        <v>221</v>
      </c>
      <c r="B302" s="205" t="s">
        <v>118</v>
      </c>
      <c r="C302" s="202"/>
      <c r="D302" s="207"/>
      <c r="E302" s="7"/>
    </row>
    <row r="303" spans="1:5" x14ac:dyDescent="0.25">
      <c r="A303" s="163" t="s">
        <v>222</v>
      </c>
      <c r="B303" s="166" t="s">
        <v>119</v>
      </c>
      <c r="C303" s="207" t="s">
        <v>378</v>
      </c>
      <c r="D303" s="202">
        <v>2</v>
      </c>
      <c r="E303" s="7"/>
    </row>
    <row r="304" spans="1:5" x14ac:dyDescent="0.25">
      <c r="A304" s="202" t="s">
        <v>223</v>
      </c>
      <c r="B304" s="205" t="s">
        <v>120</v>
      </c>
      <c r="C304" s="202" t="s">
        <v>378</v>
      </c>
      <c r="D304" s="207">
        <v>4</v>
      </c>
      <c r="E304" s="7"/>
    </row>
    <row r="305" spans="1:5" x14ac:dyDescent="0.25">
      <c r="A305" s="163" t="s">
        <v>224</v>
      </c>
      <c r="B305" s="166" t="s">
        <v>122</v>
      </c>
      <c r="C305" s="207" t="s">
        <v>378</v>
      </c>
      <c r="D305" s="202">
        <v>2</v>
      </c>
      <c r="E305" s="7"/>
    </row>
    <row r="306" spans="1:5" x14ac:dyDescent="0.25">
      <c r="A306" s="202" t="s">
        <v>225</v>
      </c>
      <c r="B306" s="205" t="s">
        <v>121</v>
      </c>
      <c r="C306" s="202" t="s">
        <v>378</v>
      </c>
      <c r="D306" s="207">
        <v>2</v>
      </c>
      <c r="E306" s="7"/>
    </row>
    <row r="307" spans="1:5" x14ac:dyDescent="0.25">
      <c r="A307" s="163" t="s">
        <v>226</v>
      </c>
      <c r="B307" s="166" t="s">
        <v>427</v>
      </c>
      <c r="C307" s="207" t="s">
        <v>378</v>
      </c>
      <c r="D307" s="202">
        <v>2</v>
      </c>
      <c r="E307" s="7"/>
    </row>
    <row r="308" spans="1:5" x14ac:dyDescent="0.25">
      <c r="A308" s="202" t="s">
        <v>227</v>
      </c>
      <c r="B308" s="205" t="s">
        <v>423</v>
      </c>
      <c r="C308" s="202" t="s">
        <v>378</v>
      </c>
      <c r="D308" s="207">
        <v>7</v>
      </c>
      <c r="E308" s="7"/>
    </row>
    <row r="309" spans="1:5" x14ac:dyDescent="0.25">
      <c r="A309" s="163" t="s">
        <v>228</v>
      </c>
      <c r="B309" s="166" t="s">
        <v>424</v>
      </c>
      <c r="C309" s="207" t="s">
        <v>378</v>
      </c>
      <c r="D309" s="202">
        <v>2</v>
      </c>
      <c r="E309" s="7"/>
    </row>
    <row r="310" spans="1:5" x14ac:dyDescent="0.25">
      <c r="A310" s="202" t="s">
        <v>229</v>
      </c>
      <c r="B310" s="205" t="s">
        <v>123</v>
      </c>
      <c r="C310" s="202"/>
      <c r="D310" s="207"/>
      <c r="E310" s="7"/>
    </row>
    <row r="311" spans="1:5" x14ac:dyDescent="0.25">
      <c r="A311" s="163" t="s">
        <v>230</v>
      </c>
      <c r="B311" s="166" t="s">
        <v>124</v>
      </c>
      <c r="C311" s="207" t="s">
        <v>378</v>
      </c>
      <c r="D311" s="202">
        <v>2</v>
      </c>
      <c r="E311" s="7"/>
    </row>
    <row r="312" spans="1:5" x14ac:dyDescent="0.25">
      <c r="A312" s="202" t="s">
        <v>231</v>
      </c>
      <c r="B312" s="205" t="s">
        <v>123</v>
      </c>
      <c r="C312" s="202"/>
      <c r="D312" s="207"/>
      <c r="E312" s="7"/>
    </row>
    <row r="313" spans="1:5" x14ac:dyDescent="0.25">
      <c r="A313" s="163" t="s">
        <v>232</v>
      </c>
      <c r="B313" s="166" t="s">
        <v>425</v>
      </c>
      <c r="C313" s="207" t="s">
        <v>378</v>
      </c>
      <c r="D313" s="202">
        <v>6</v>
      </c>
      <c r="E313" s="7"/>
    </row>
    <row r="314" spans="1:5" x14ac:dyDescent="0.25">
      <c r="A314" s="202" t="s">
        <v>233</v>
      </c>
      <c r="B314" s="205" t="s">
        <v>426</v>
      </c>
      <c r="C314" s="202" t="s">
        <v>378</v>
      </c>
      <c r="D314" s="207">
        <v>4</v>
      </c>
      <c r="E314" s="7"/>
    </row>
    <row r="315" spans="1:5" x14ac:dyDescent="0.25">
      <c r="A315" s="163" t="s">
        <v>234</v>
      </c>
      <c r="B315" s="166" t="s">
        <v>125</v>
      </c>
      <c r="C315" s="207"/>
      <c r="D315" s="202"/>
      <c r="E315" s="7"/>
    </row>
    <row r="316" spans="1:5" x14ac:dyDescent="0.25">
      <c r="A316" s="202" t="s">
        <v>235</v>
      </c>
      <c r="B316" s="205" t="s">
        <v>126</v>
      </c>
      <c r="C316" s="202" t="s">
        <v>378</v>
      </c>
      <c r="D316" s="207">
        <v>2</v>
      </c>
      <c r="E316" s="7"/>
    </row>
    <row r="317" spans="1:5" x14ac:dyDescent="0.25">
      <c r="A317" s="163" t="s">
        <v>236</v>
      </c>
      <c r="B317" s="166" t="s">
        <v>127</v>
      </c>
      <c r="C317" s="207"/>
      <c r="D317" s="202"/>
      <c r="E317" s="7"/>
    </row>
    <row r="318" spans="1:5" x14ac:dyDescent="0.25">
      <c r="A318" s="202" t="s">
        <v>286</v>
      </c>
      <c r="B318" s="205" t="s">
        <v>128</v>
      </c>
      <c r="C318" s="202" t="s">
        <v>25</v>
      </c>
      <c r="D318" s="207"/>
      <c r="E318" s="7"/>
    </row>
    <row r="319" spans="1:5" x14ac:dyDescent="0.25">
      <c r="A319" s="163" t="s">
        <v>287</v>
      </c>
      <c r="B319" s="166" t="s">
        <v>129</v>
      </c>
      <c r="C319" s="207" t="s">
        <v>130</v>
      </c>
      <c r="D319" s="202"/>
      <c r="E319" s="7"/>
    </row>
    <row r="320" spans="1:5" x14ac:dyDescent="0.25">
      <c r="A320" s="202" t="s">
        <v>288</v>
      </c>
      <c r="B320" s="205" t="s">
        <v>131</v>
      </c>
      <c r="C320" s="202" t="s">
        <v>130</v>
      </c>
      <c r="D320" s="207"/>
      <c r="E320" s="7"/>
    </row>
    <row r="321" spans="1:5" x14ac:dyDescent="0.25">
      <c r="A321" s="163" t="s">
        <v>289</v>
      </c>
      <c r="B321" s="166" t="s">
        <v>132</v>
      </c>
      <c r="C321" s="207" t="s">
        <v>130</v>
      </c>
      <c r="D321" s="202"/>
      <c r="E321" s="7"/>
    </row>
    <row r="322" spans="1:5" x14ac:dyDescent="0.25">
      <c r="A322" s="202" t="s">
        <v>290</v>
      </c>
      <c r="B322" s="205" t="s">
        <v>767</v>
      </c>
      <c r="C322" s="202"/>
      <c r="D322" s="207"/>
      <c r="E322" s="7"/>
    </row>
    <row r="323" spans="1:5" ht="15.75" thickBot="1" x14ac:dyDescent="0.3">
      <c r="A323" s="163" t="s">
        <v>291</v>
      </c>
      <c r="B323" s="166" t="s">
        <v>371</v>
      </c>
      <c r="C323" s="207" t="s">
        <v>378</v>
      </c>
      <c r="D323" s="202"/>
      <c r="E323" s="7"/>
    </row>
    <row r="324" spans="1:5" ht="15.75" thickBot="1" x14ac:dyDescent="0.3">
      <c r="A324" s="155">
        <v>8</v>
      </c>
      <c r="B324" s="159" t="str">
        <f>ORÇAMENTO!D188</f>
        <v>INSTALACOES ESPECIAIS</v>
      </c>
      <c r="C324" s="160"/>
      <c r="D324" s="160"/>
      <c r="E324" s="7"/>
    </row>
    <row r="325" spans="1:5" ht="15.75" thickBot="1" x14ac:dyDescent="0.3">
      <c r="A325" s="174" t="s">
        <v>2</v>
      </c>
      <c r="B325" s="174" t="s">
        <v>446</v>
      </c>
      <c r="C325" s="174" t="s">
        <v>447</v>
      </c>
      <c r="D325" s="174" t="s">
        <v>448</v>
      </c>
      <c r="E325" s="7"/>
    </row>
    <row r="326" spans="1:5" ht="30" customHeight="1" x14ac:dyDescent="0.25">
      <c r="A326" s="163" t="str">
        <f>ORÇAMENTO!A189</f>
        <v>8.1</v>
      </c>
      <c r="B326" s="166" t="str">
        <f>ORÇAMENTO!D189</f>
        <v>TUBO DE AÇO GALVANIZADO 3/4" SCHEDULE 40, ROSCA NPT - NBR 5590</v>
      </c>
      <c r="C326" s="207" t="s">
        <v>130</v>
      </c>
      <c r="D326" s="202">
        <v>12</v>
      </c>
      <c r="E326" s="7"/>
    </row>
    <row r="327" spans="1:5" ht="30" customHeight="1" x14ac:dyDescent="0.25">
      <c r="A327" s="163" t="str">
        <f>ORÇAMENTO!A190</f>
        <v>8.2</v>
      </c>
      <c r="B327" s="166" t="str">
        <f>ORÇAMENTO!D190</f>
        <v>COTOVELO 90º FERRO MALEÁVEL GALVANIZADO 3/4" CLASSE 150 ROSCA NPT NBR 6925</v>
      </c>
      <c r="C327" s="207" t="s">
        <v>537</v>
      </c>
      <c r="D327" s="202">
        <v>3</v>
      </c>
      <c r="E327" s="7"/>
    </row>
    <row r="328" spans="1:5" ht="30" customHeight="1" x14ac:dyDescent="0.25">
      <c r="A328" s="163" t="str">
        <f>ORÇAMENTO!A191</f>
        <v>8.3</v>
      </c>
      <c r="B328" s="166" t="str">
        <f>ORÇAMENTO!D191</f>
        <v>LUVA REDUÇÃO DE FERRO MALEÁVEL GALVANIZADO 3/4" X 1/2", CLASSE 150, ROSCA NPT - NBR 6925</v>
      </c>
      <c r="C328" s="207" t="s">
        <v>537</v>
      </c>
      <c r="D328" s="202">
        <v>2</v>
      </c>
      <c r="E328" s="7"/>
    </row>
    <row r="329" spans="1:5" ht="15" customHeight="1" x14ac:dyDescent="0.25">
      <c r="A329" s="163" t="str">
        <f>ORÇAMENTO!A192</f>
        <v>8.4</v>
      </c>
      <c r="B329" s="166" t="str">
        <f>ORÇAMENTO!D192</f>
        <v>LUVA DE FERRO MALEÁVEL GALVANIZADO 3/4", CLASSE 150, ROSCA NPT - NBR 6925</v>
      </c>
      <c r="C329" s="207" t="s">
        <v>537</v>
      </c>
      <c r="D329" s="202">
        <v>1</v>
      </c>
      <c r="E329" s="7"/>
    </row>
    <row r="330" spans="1:5" ht="15" customHeight="1" x14ac:dyDescent="0.25">
      <c r="A330" s="163" t="str">
        <f>ORÇAMENTO!A193</f>
        <v>8.5</v>
      </c>
      <c r="B330" s="166" t="str">
        <f>ORÇAMENTO!D193</f>
        <v>REGISTRO ESFERA EM LATÃO PARA GÁS ROSCA 1/2" NPT MACHO MONOBLOCO ANGULAR</v>
      </c>
      <c r="C330" s="207" t="s">
        <v>537</v>
      </c>
      <c r="D330" s="202">
        <v>1</v>
      </c>
      <c r="E330" s="7"/>
    </row>
    <row r="331" spans="1:5" ht="15" customHeight="1" thickBot="1" x14ac:dyDescent="0.3">
      <c r="A331" s="163" t="str">
        <f>ORÇAMENTO!A194</f>
        <v>8.6</v>
      </c>
      <c r="B331" s="166" t="str">
        <f>ORÇAMENTO!D194</f>
        <v>CHICOTE "PIGTAIL" FLEXÍVEL PARA P-45 DE MANGUEIRA NITRÍLICA COM COMPRIMENTO DE 500 MM E ROSCA DAS CONEXÕES DE 7/8" R.E. X 7/16"NS OU</v>
      </c>
      <c r="C331" s="207" t="s">
        <v>537</v>
      </c>
      <c r="D331" s="202">
        <v>1</v>
      </c>
      <c r="E331" s="7"/>
    </row>
    <row r="332" spans="1:5" ht="15.75" thickBot="1" x14ac:dyDescent="0.3">
      <c r="A332" s="155">
        <v>9</v>
      </c>
      <c r="B332" s="159" t="s">
        <v>509</v>
      </c>
      <c r="C332" s="160"/>
      <c r="D332" s="160"/>
      <c r="E332" s="7"/>
    </row>
    <row r="333" spans="1:5" ht="15.75" thickBot="1" x14ac:dyDescent="0.3">
      <c r="A333" s="174" t="s">
        <v>2</v>
      </c>
      <c r="B333" s="174" t="s">
        <v>446</v>
      </c>
      <c r="C333" s="174" t="s">
        <v>447</v>
      </c>
      <c r="D333" s="174" t="s">
        <v>448</v>
      </c>
      <c r="E333" s="7"/>
    </row>
    <row r="334" spans="1:5" ht="30" x14ac:dyDescent="0.25">
      <c r="A334" s="161" t="str">
        <f>ORÇAMENTO!A198</f>
        <v>9.1</v>
      </c>
      <c r="B334" s="162" t="s">
        <v>725</v>
      </c>
      <c r="C334" s="208" t="s">
        <v>254</v>
      </c>
      <c r="D334" s="202" t="s">
        <v>515</v>
      </c>
      <c r="E334" s="7"/>
    </row>
    <row r="335" spans="1:5" x14ac:dyDescent="0.25">
      <c r="A335" s="163"/>
      <c r="B335" s="166" t="s">
        <v>513</v>
      </c>
      <c r="C335" s="207" t="s">
        <v>130</v>
      </c>
      <c r="D335" s="202">
        <v>5.2</v>
      </c>
      <c r="E335" s="7"/>
    </row>
    <row r="336" spans="1:5" ht="15" customHeight="1" x14ac:dyDescent="0.25">
      <c r="A336" s="163"/>
      <c r="B336" s="166" t="s">
        <v>514</v>
      </c>
      <c r="C336" s="207" t="s">
        <v>130</v>
      </c>
      <c r="D336" s="202">
        <f>(12+12+21.15+21.15)</f>
        <v>66.3</v>
      </c>
      <c r="E336" s="7"/>
    </row>
    <row r="337" spans="1:5" ht="15" customHeight="1" x14ac:dyDescent="0.25">
      <c r="A337" s="163"/>
      <c r="B337" s="200" t="s">
        <v>574</v>
      </c>
      <c r="C337" s="207" t="s">
        <v>254</v>
      </c>
      <c r="D337" s="202">
        <f>(2.4*2.1)+(1.5*2.1)+(10*1.2*0.6)+(3*1*0.5)+2*(0.5*0.5)</f>
        <v>17.39</v>
      </c>
      <c r="E337" s="7"/>
    </row>
    <row r="338" spans="1:5" ht="15" customHeight="1" x14ac:dyDescent="0.25">
      <c r="A338" s="163" t="s">
        <v>525</v>
      </c>
      <c r="B338" s="162" t="s">
        <v>516</v>
      </c>
      <c r="C338" s="208" t="s">
        <v>254</v>
      </c>
      <c r="D338" s="211">
        <f>(D336*D335)-D337</f>
        <v>327.37</v>
      </c>
      <c r="E338" s="7"/>
    </row>
    <row r="339" spans="1:5" x14ac:dyDescent="0.25">
      <c r="A339" s="163"/>
      <c r="B339" s="166" t="s">
        <v>517</v>
      </c>
      <c r="C339" s="207" t="s">
        <v>130</v>
      </c>
      <c r="D339" s="202">
        <v>3</v>
      </c>
      <c r="E339" s="7"/>
    </row>
    <row r="340" spans="1:5" ht="15" customHeight="1" x14ac:dyDescent="0.25">
      <c r="A340" s="199"/>
      <c r="B340" s="166" t="s">
        <v>518</v>
      </c>
      <c r="C340" s="207" t="s">
        <v>130</v>
      </c>
      <c r="D340" s="202">
        <f>(3.5+3.5+3.5+2+3+7.2)</f>
        <v>22.7</v>
      </c>
      <c r="E340" s="7"/>
    </row>
    <row r="341" spans="1:5" ht="15" customHeight="1" x14ac:dyDescent="0.25">
      <c r="A341" s="199"/>
      <c r="B341" s="200" t="s">
        <v>573</v>
      </c>
      <c r="C341" s="207" t="s">
        <v>254</v>
      </c>
      <c r="D341" s="202">
        <f>(4*2.1*0.8)+(1*1.5)</f>
        <v>8.2200000000000006</v>
      </c>
      <c r="E341" s="7"/>
    </row>
    <row r="342" spans="1:5" ht="15" customHeight="1" x14ac:dyDescent="0.25">
      <c r="A342" s="199" t="s">
        <v>526</v>
      </c>
      <c r="B342" s="162" t="s">
        <v>519</v>
      </c>
      <c r="C342" s="208" t="s">
        <v>254</v>
      </c>
      <c r="D342" s="211">
        <f>(D339*D340)-D341</f>
        <v>59.879999999999995</v>
      </c>
      <c r="E342" s="7"/>
    </row>
    <row r="343" spans="1:5" ht="15" customHeight="1" x14ac:dyDescent="0.25">
      <c r="A343" s="213" t="s">
        <v>527</v>
      </c>
      <c r="B343" s="162" t="s">
        <v>572</v>
      </c>
      <c r="C343" s="208" t="s">
        <v>254</v>
      </c>
      <c r="D343" s="211">
        <f>(1.2*0.6*2)+(0.8*0.6*2)+(0.4*0.6*2)+(7.2*0.4)+(7.2*1.2)+(7.2*0.8)</f>
        <v>20.16</v>
      </c>
      <c r="E343" s="7"/>
    </row>
    <row r="344" spans="1:5" ht="15" customHeight="1" thickBot="1" x14ac:dyDescent="0.3">
      <c r="A344" s="307" t="s">
        <v>575</v>
      </c>
      <c r="B344" s="308"/>
      <c r="C344" s="309"/>
      <c r="D344" s="171">
        <f>D338+D342+D343</f>
        <v>407.41</v>
      </c>
      <c r="E344" s="7"/>
    </row>
    <row r="345" spans="1:5" ht="15.75" thickBot="1" x14ac:dyDescent="0.3">
      <c r="A345" s="155">
        <v>10</v>
      </c>
      <c r="B345" s="159" t="s">
        <v>510</v>
      </c>
      <c r="C345" s="160"/>
      <c r="D345" s="160"/>
      <c r="E345" s="7"/>
    </row>
    <row r="346" spans="1:5" ht="15.75" thickBot="1" x14ac:dyDescent="0.3">
      <c r="A346" s="174" t="s">
        <v>2</v>
      </c>
      <c r="B346" s="174" t="s">
        <v>446</v>
      </c>
      <c r="C346" s="174" t="s">
        <v>447</v>
      </c>
      <c r="D346" s="174" t="s">
        <v>448</v>
      </c>
      <c r="E346" s="7"/>
    </row>
    <row r="347" spans="1:5" x14ac:dyDescent="0.25">
      <c r="A347" s="161" t="s">
        <v>274</v>
      </c>
      <c r="B347" s="162" t="str">
        <f>ORÇAMENTO!D202</f>
        <v xml:space="preserve">IMPERMEABILIZACAO VIGAS BALDRAMES E=2,0 CM </v>
      </c>
      <c r="C347" s="208" t="s">
        <v>254</v>
      </c>
      <c r="D347" s="202" t="s">
        <v>521</v>
      </c>
      <c r="E347" s="7"/>
    </row>
    <row r="348" spans="1:5" x14ac:dyDescent="0.25">
      <c r="A348" s="163" t="s">
        <v>525</v>
      </c>
      <c r="B348" s="166" t="s">
        <v>522</v>
      </c>
      <c r="C348" s="207" t="s">
        <v>130</v>
      </c>
      <c r="D348" s="202">
        <f>D58</f>
        <v>102.05700000000002</v>
      </c>
      <c r="E348" s="7"/>
    </row>
    <row r="349" spans="1:5" x14ac:dyDescent="0.25">
      <c r="A349" s="163" t="s">
        <v>526</v>
      </c>
      <c r="B349" s="166" t="s">
        <v>523</v>
      </c>
      <c r="C349" s="207" t="s">
        <v>130</v>
      </c>
      <c r="D349" s="202">
        <v>0.4</v>
      </c>
      <c r="E349" s="7"/>
    </row>
    <row r="350" spans="1:5" x14ac:dyDescent="0.25">
      <c r="A350" s="167" t="s">
        <v>527</v>
      </c>
      <c r="B350" s="166" t="s">
        <v>524</v>
      </c>
      <c r="C350" s="167" t="s">
        <v>130</v>
      </c>
      <c r="D350" s="202">
        <v>0.14000000000000001</v>
      </c>
      <c r="E350" s="7"/>
    </row>
    <row r="351" spans="1:5" ht="15.75" thickBot="1" x14ac:dyDescent="0.3">
      <c r="A351" s="307" t="s">
        <v>528</v>
      </c>
      <c r="B351" s="308"/>
      <c r="C351" s="309"/>
      <c r="D351" s="171">
        <f>(2*D348*D349)+(D348*D350)</f>
        <v>95.933580000000021</v>
      </c>
      <c r="E351" s="7"/>
    </row>
    <row r="352" spans="1:5" ht="30" x14ac:dyDescent="0.25">
      <c r="A352" s="161" t="s">
        <v>275</v>
      </c>
      <c r="B352" s="162" t="str">
        <f>ORÇAMENTO!D203</f>
        <v xml:space="preserve">IMPERMEABILIZAÇÃO-REBAIXO BANHEIRO COM 4 DEMÃOS DE EMULSÃO ASFÁLTICA </v>
      </c>
      <c r="C352" s="208" t="s">
        <v>254</v>
      </c>
      <c r="D352" s="202" t="s">
        <v>529</v>
      </c>
      <c r="E352" s="7"/>
    </row>
    <row r="353" spans="1:5" x14ac:dyDescent="0.25">
      <c r="A353" s="163" t="s">
        <v>525</v>
      </c>
      <c r="B353" s="166" t="s">
        <v>530</v>
      </c>
      <c r="C353" s="207" t="s">
        <v>254</v>
      </c>
      <c r="D353" s="202">
        <v>3</v>
      </c>
      <c r="E353" s="7"/>
    </row>
    <row r="354" spans="1:5" x14ac:dyDescent="0.25">
      <c r="A354" s="167" t="s">
        <v>526</v>
      </c>
      <c r="B354" s="166" t="s">
        <v>531</v>
      </c>
      <c r="C354" s="167" t="s">
        <v>254</v>
      </c>
      <c r="D354" s="202">
        <v>3</v>
      </c>
      <c r="E354" s="7"/>
    </row>
    <row r="355" spans="1:5" ht="15.75" thickBot="1" x14ac:dyDescent="0.3">
      <c r="A355" s="307" t="s">
        <v>532</v>
      </c>
      <c r="B355" s="308"/>
      <c r="C355" s="309"/>
      <c r="D355" s="171">
        <f>D354+D353</f>
        <v>6</v>
      </c>
      <c r="E355" s="7"/>
    </row>
    <row r="356" spans="1:5" ht="15.75" thickBot="1" x14ac:dyDescent="0.3">
      <c r="A356" s="155">
        <v>11</v>
      </c>
      <c r="B356" s="159" t="s">
        <v>726</v>
      </c>
      <c r="C356" s="160"/>
      <c r="D356" s="160"/>
      <c r="E356" s="7"/>
    </row>
    <row r="357" spans="1:5" ht="15.75" thickBot="1" x14ac:dyDescent="0.3">
      <c r="A357" s="174" t="s">
        <v>2</v>
      </c>
      <c r="B357" s="174" t="s">
        <v>446</v>
      </c>
      <c r="C357" s="174" t="s">
        <v>447</v>
      </c>
      <c r="D357" s="174" t="s">
        <v>448</v>
      </c>
      <c r="E357" s="7"/>
    </row>
    <row r="358" spans="1:5" ht="45.75" customHeight="1" x14ac:dyDescent="0.25">
      <c r="A358" s="161" t="s">
        <v>280</v>
      </c>
      <c r="B358" s="162" t="s">
        <v>719</v>
      </c>
      <c r="C358" s="208" t="s">
        <v>254</v>
      </c>
      <c r="D358" s="202" t="s">
        <v>533</v>
      </c>
      <c r="E358" s="7"/>
    </row>
    <row r="359" spans="1:5" ht="45.75" customHeight="1" thickBot="1" x14ac:dyDescent="0.3">
      <c r="A359" s="163"/>
      <c r="B359" s="166" t="s">
        <v>720</v>
      </c>
      <c r="C359" s="207" t="s">
        <v>254</v>
      </c>
      <c r="D359" s="202">
        <v>0.6</v>
      </c>
      <c r="E359" s="7"/>
    </row>
    <row r="360" spans="1:5" ht="15.75" thickBot="1" x14ac:dyDescent="0.3">
      <c r="A360" s="155">
        <v>12</v>
      </c>
      <c r="B360" s="159" t="s">
        <v>511</v>
      </c>
      <c r="C360" s="160"/>
      <c r="D360" s="160"/>
      <c r="E360" s="7"/>
    </row>
    <row r="361" spans="1:5" ht="15.75" thickBot="1" x14ac:dyDescent="0.3">
      <c r="A361" s="174" t="s">
        <v>2</v>
      </c>
      <c r="B361" s="174" t="s">
        <v>446</v>
      </c>
      <c r="C361" s="174" t="s">
        <v>447</v>
      </c>
      <c r="D361" s="174" t="s">
        <v>448</v>
      </c>
      <c r="E361" s="7"/>
    </row>
    <row r="362" spans="1:5" ht="45" x14ac:dyDescent="0.25">
      <c r="A362" s="161" t="s">
        <v>285</v>
      </c>
      <c r="B362" s="162" t="str">
        <f>ORÇAMENTO!D211</f>
        <v>TRAMA DE AÇO COMPOSTA POR TERÇAS PARA TELHADOS DE ATÉ 2 ÁGUAS PARA TELHA ONDULADA DE FIBROCIMENTO, METÁLICA, PLÁSTICA OU TERMOACÚSTICA, INCLUSO TRANSPORTE VERTICAL. AF_07/2019</v>
      </c>
      <c r="C362" s="208" t="s">
        <v>254</v>
      </c>
      <c r="D362" s="202" t="s">
        <v>533</v>
      </c>
      <c r="E362" s="7"/>
    </row>
    <row r="363" spans="1:5" x14ac:dyDescent="0.25">
      <c r="A363" s="163" t="s">
        <v>525</v>
      </c>
      <c r="B363" s="166" t="s">
        <v>534</v>
      </c>
      <c r="C363" s="207" t="s">
        <v>130</v>
      </c>
      <c r="D363" s="202">
        <f>D21</f>
        <v>12</v>
      </c>
      <c r="E363" s="7"/>
    </row>
    <row r="364" spans="1:5" x14ac:dyDescent="0.25">
      <c r="A364" s="167" t="s">
        <v>526</v>
      </c>
      <c r="B364" s="166" t="s">
        <v>535</v>
      </c>
      <c r="C364" s="167" t="s">
        <v>130</v>
      </c>
      <c r="D364" s="202">
        <f>D22</f>
        <v>21.15</v>
      </c>
      <c r="E364" s="7"/>
    </row>
    <row r="365" spans="1:5" ht="15.75" thickBot="1" x14ac:dyDescent="0.3">
      <c r="A365" s="307" t="s">
        <v>536</v>
      </c>
      <c r="B365" s="308"/>
      <c r="C365" s="309"/>
      <c r="D365" s="171">
        <f>D363*D364</f>
        <v>253.79999999999998</v>
      </c>
      <c r="E365" s="7"/>
    </row>
    <row r="366" spans="1:5" ht="45" x14ac:dyDescent="0.25">
      <c r="A366" s="161" t="s">
        <v>368</v>
      </c>
      <c r="B366" s="162" t="str">
        <f>ORÇAMENTO!D212</f>
        <v>FABRICAÇÃO E INSTALAÇÃO DE TESOURA INTEIRA EM AÇO, VÃO DE 12 M, PARA TELHA ONDULADA DE FIBROCIMENTO, METÁLICA, PLÁSTICA OU TERMOACÚSTICA,INCLUSO IÇAMENTO. AF_12/2015</v>
      </c>
      <c r="C366" s="208" t="s">
        <v>537</v>
      </c>
      <c r="D366" s="202" t="s">
        <v>538</v>
      </c>
      <c r="E366" s="7"/>
    </row>
    <row r="367" spans="1:5" x14ac:dyDescent="0.25">
      <c r="A367" s="163"/>
      <c r="B367" s="166" t="s">
        <v>721</v>
      </c>
      <c r="C367" s="207" t="s">
        <v>537</v>
      </c>
      <c r="D367" s="202">
        <v>6</v>
      </c>
      <c r="E367" s="7"/>
    </row>
    <row r="368" spans="1:5" ht="15.75" thickBot="1" x14ac:dyDescent="0.3">
      <c r="A368" s="307" t="s">
        <v>43</v>
      </c>
      <c r="B368" s="308"/>
      <c r="C368" s="309"/>
      <c r="D368" s="171">
        <f>D367</f>
        <v>6</v>
      </c>
      <c r="E368" s="7"/>
    </row>
    <row r="369" spans="1:5" ht="15.75" thickBot="1" x14ac:dyDescent="0.3">
      <c r="A369" s="155">
        <v>13</v>
      </c>
      <c r="B369" s="159" t="s">
        <v>32</v>
      </c>
      <c r="C369" s="160"/>
      <c r="D369" s="160"/>
      <c r="E369" s="7"/>
    </row>
    <row r="370" spans="1:5" ht="15.75" thickBot="1" x14ac:dyDescent="0.3">
      <c r="A370" s="174" t="s">
        <v>2</v>
      </c>
      <c r="B370" s="174" t="s">
        <v>446</v>
      </c>
      <c r="C370" s="174" t="s">
        <v>447</v>
      </c>
      <c r="D370" s="174" t="s">
        <v>448</v>
      </c>
      <c r="E370" s="7"/>
    </row>
    <row r="371" spans="1:5" ht="30" x14ac:dyDescent="0.25">
      <c r="A371" s="161" t="str">
        <f>ORÇAMENTO!A216</f>
        <v>13.1</v>
      </c>
      <c r="B371" s="162" t="s">
        <v>539</v>
      </c>
      <c r="C371" s="165" t="s">
        <v>254</v>
      </c>
      <c r="D371" s="202" t="str">
        <f>D362</f>
        <v>Área coberta</v>
      </c>
      <c r="E371" s="7"/>
    </row>
    <row r="372" spans="1:5" x14ac:dyDescent="0.25">
      <c r="A372" s="163" t="s">
        <v>525</v>
      </c>
      <c r="B372" s="166" t="s">
        <v>534</v>
      </c>
      <c r="C372" s="207" t="s">
        <v>130</v>
      </c>
      <c r="D372" s="202">
        <f>D363</f>
        <v>12</v>
      </c>
      <c r="E372" s="7"/>
    </row>
    <row r="373" spans="1:5" x14ac:dyDescent="0.25">
      <c r="A373" s="167" t="s">
        <v>526</v>
      </c>
      <c r="B373" s="166" t="s">
        <v>535</v>
      </c>
      <c r="C373" s="167" t="s">
        <v>130</v>
      </c>
      <c r="D373" s="202">
        <f>D364</f>
        <v>21.15</v>
      </c>
      <c r="E373" s="7"/>
    </row>
    <row r="374" spans="1:5" ht="15.75" thickBot="1" x14ac:dyDescent="0.3">
      <c r="A374" s="307" t="s">
        <v>536</v>
      </c>
      <c r="B374" s="308"/>
      <c r="C374" s="309"/>
      <c r="D374" s="171">
        <f>D373*D372</f>
        <v>253.79999999999998</v>
      </c>
      <c r="E374" s="7"/>
    </row>
    <row r="375" spans="1:5" x14ac:dyDescent="0.25">
      <c r="A375" s="161" t="s">
        <v>722</v>
      </c>
      <c r="B375" s="162" t="s">
        <v>540</v>
      </c>
      <c r="C375" s="208" t="s">
        <v>130</v>
      </c>
      <c r="D375" s="202" t="s">
        <v>541</v>
      </c>
      <c r="E375" s="7"/>
    </row>
    <row r="376" spans="1:5" x14ac:dyDescent="0.25">
      <c r="A376" s="163"/>
      <c r="B376" s="166" t="s">
        <v>535</v>
      </c>
      <c r="C376" s="207" t="s">
        <v>130</v>
      </c>
      <c r="D376" s="202">
        <f>D373</f>
        <v>21.15</v>
      </c>
      <c r="E376" s="7"/>
    </row>
    <row r="377" spans="1:5" ht="15.75" thickBot="1" x14ac:dyDescent="0.3">
      <c r="A377" s="307" t="s">
        <v>43</v>
      </c>
      <c r="B377" s="308"/>
      <c r="C377" s="309"/>
      <c r="D377" s="171">
        <f>D376</f>
        <v>21.15</v>
      </c>
      <c r="E377" s="7"/>
    </row>
    <row r="378" spans="1:5" x14ac:dyDescent="0.25">
      <c r="A378" s="161" t="s">
        <v>723</v>
      </c>
      <c r="B378" s="162" t="s">
        <v>281</v>
      </c>
      <c r="C378" s="208" t="s">
        <v>254</v>
      </c>
      <c r="D378" s="202" t="s">
        <v>545</v>
      </c>
      <c r="E378" s="7"/>
    </row>
    <row r="379" spans="1:5" x14ac:dyDescent="0.25">
      <c r="A379" s="163" t="s">
        <v>525</v>
      </c>
      <c r="B379" s="166" t="s">
        <v>542</v>
      </c>
      <c r="C379" s="207" t="s">
        <v>130</v>
      </c>
      <c r="D379" s="202">
        <f>D376</f>
        <v>21.15</v>
      </c>
      <c r="E379" s="7"/>
    </row>
    <row r="380" spans="1:5" x14ac:dyDescent="0.25">
      <c r="A380" s="163" t="s">
        <v>526</v>
      </c>
      <c r="B380" s="166" t="s">
        <v>543</v>
      </c>
      <c r="C380" s="207" t="s">
        <v>537</v>
      </c>
      <c r="D380" s="202">
        <v>2</v>
      </c>
      <c r="E380" s="7"/>
    </row>
    <row r="381" spans="1:5" x14ac:dyDescent="0.25">
      <c r="A381" s="199" t="s">
        <v>527</v>
      </c>
      <c r="B381" s="200" t="s">
        <v>544</v>
      </c>
      <c r="C381" s="207" t="s">
        <v>130</v>
      </c>
      <c r="D381" s="202">
        <v>0.8</v>
      </c>
      <c r="E381" s="7"/>
    </row>
    <row r="382" spans="1:5" x14ac:dyDescent="0.25">
      <c r="A382" s="199" t="s">
        <v>547</v>
      </c>
      <c r="B382" s="200" t="s">
        <v>548</v>
      </c>
      <c r="C382" s="207" t="s">
        <v>254</v>
      </c>
      <c r="D382" s="202">
        <f>0.19*(21.15+21.15+12+12)</f>
        <v>12.597</v>
      </c>
      <c r="E382" s="7"/>
    </row>
    <row r="383" spans="1:5" ht="15.75" thickBot="1" x14ac:dyDescent="0.3">
      <c r="A383" s="307" t="s">
        <v>549</v>
      </c>
      <c r="B383" s="308"/>
      <c r="C383" s="309"/>
      <c r="D383" s="171">
        <f>(D379*D380*D381)+D382</f>
        <v>46.436999999999998</v>
      </c>
      <c r="E383" s="7"/>
    </row>
    <row r="384" spans="1:5" x14ac:dyDescent="0.25">
      <c r="A384" s="161" t="s">
        <v>284</v>
      </c>
      <c r="B384" s="162" t="str">
        <f>ORÇAMENTO!D219</f>
        <v xml:space="preserve">RUFO DE CHAPA GALVANIZADA </v>
      </c>
      <c r="C384" s="208" t="s">
        <v>130</v>
      </c>
      <c r="D384" s="202" t="s">
        <v>551</v>
      </c>
      <c r="E384" s="7"/>
    </row>
    <row r="385" spans="1:5" x14ac:dyDescent="0.25">
      <c r="A385" s="163" t="s">
        <v>525</v>
      </c>
      <c r="B385" s="166" t="s">
        <v>546</v>
      </c>
      <c r="C385" s="207" t="s">
        <v>130</v>
      </c>
      <c r="D385" s="202">
        <v>12</v>
      </c>
      <c r="E385" s="7"/>
    </row>
    <row r="386" spans="1:5" x14ac:dyDescent="0.25">
      <c r="A386" s="163" t="s">
        <v>526</v>
      </c>
      <c r="B386" s="166" t="s">
        <v>543</v>
      </c>
      <c r="C386" s="207" t="s">
        <v>537</v>
      </c>
      <c r="D386" s="202">
        <v>2</v>
      </c>
      <c r="E386" s="7"/>
    </row>
    <row r="387" spans="1:5" ht="15.75" thickBot="1" x14ac:dyDescent="0.3">
      <c r="A387" s="307" t="s">
        <v>550</v>
      </c>
      <c r="B387" s="308"/>
      <c r="C387" s="309"/>
      <c r="D387" s="171">
        <f>D386*D385</f>
        <v>24</v>
      </c>
      <c r="E387" s="7"/>
    </row>
    <row r="388" spans="1:5" ht="15.75" thickBot="1" x14ac:dyDescent="0.3">
      <c r="A388" s="155">
        <v>14</v>
      </c>
      <c r="B388" s="159" t="s">
        <v>512</v>
      </c>
      <c r="C388" s="160"/>
      <c r="D388" s="160"/>
      <c r="E388" s="7"/>
    </row>
    <row r="389" spans="1:5" ht="15.75" thickBot="1" x14ac:dyDescent="0.3">
      <c r="A389" s="174" t="s">
        <v>2</v>
      </c>
      <c r="B389" s="174" t="s">
        <v>446</v>
      </c>
      <c r="C389" s="174" t="s">
        <v>447</v>
      </c>
      <c r="D389" s="174" t="s">
        <v>448</v>
      </c>
      <c r="E389" s="7"/>
    </row>
    <row r="390" spans="1:5" ht="30" x14ac:dyDescent="0.25">
      <c r="A390" s="161" t="str">
        <f>ORÇAMENTO!A223</f>
        <v>14.1</v>
      </c>
      <c r="B390" s="162" t="str">
        <f>ORÇAMENTO!D223</f>
        <v xml:space="preserve">PORTA LISA 80x210 C/PORTAL E ALISAR S/FERRAGENS </v>
      </c>
      <c r="C390" s="208" t="s">
        <v>537</v>
      </c>
      <c r="D390" s="202" t="s">
        <v>552</v>
      </c>
      <c r="E390" s="7"/>
    </row>
    <row r="391" spans="1:5" x14ac:dyDescent="0.25">
      <c r="A391" s="163"/>
      <c r="B391" s="166" t="s">
        <v>279</v>
      </c>
      <c r="C391" s="207" t="s">
        <v>537</v>
      </c>
      <c r="D391" s="202">
        <v>1</v>
      </c>
      <c r="E391" s="7"/>
    </row>
    <row r="392" spans="1:5" x14ac:dyDescent="0.25">
      <c r="A392" s="163"/>
      <c r="B392" s="166" t="s">
        <v>553</v>
      </c>
      <c r="C392" s="207" t="s">
        <v>537</v>
      </c>
      <c r="D392" s="202">
        <v>1</v>
      </c>
      <c r="E392" s="7"/>
    </row>
    <row r="393" spans="1:5" x14ac:dyDescent="0.25">
      <c r="A393" s="161"/>
      <c r="B393" s="166" t="s">
        <v>244</v>
      </c>
      <c r="C393" s="207" t="s">
        <v>537</v>
      </c>
      <c r="D393" s="202">
        <v>1</v>
      </c>
      <c r="E393" s="7"/>
    </row>
    <row r="394" spans="1:5" x14ac:dyDescent="0.25">
      <c r="A394" s="163"/>
      <c r="B394" s="166" t="s">
        <v>245</v>
      </c>
      <c r="C394" s="207" t="s">
        <v>537</v>
      </c>
      <c r="D394" s="202">
        <v>1</v>
      </c>
      <c r="E394" s="7"/>
    </row>
    <row r="395" spans="1:5" ht="15.75" thickBot="1" x14ac:dyDescent="0.3">
      <c r="A395" s="307" t="s">
        <v>43</v>
      </c>
      <c r="B395" s="308"/>
      <c r="C395" s="309"/>
      <c r="D395" s="171">
        <f>SUM(D391:D394)</f>
        <v>4</v>
      </c>
      <c r="E395" s="7"/>
    </row>
    <row r="396" spans="1:5" ht="15.75" thickBot="1" x14ac:dyDescent="0.3">
      <c r="A396" s="155">
        <v>15</v>
      </c>
      <c r="B396" s="159" t="s">
        <v>34</v>
      </c>
      <c r="C396" s="160"/>
      <c r="D396" s="160"/>
      <c r="E396" s="7"/>
    </row>
    <row r="397" spans="1:5" ht="15.75" thickBot="1" x14ac:dyDescent="0.3">
      <c r="A397" s="174" t="s">
        <v>2</v>
      </c>
      <c r="B397" s="174" t="s">
        <v>446</v>
      </c>
      <c r="C397" s="174" t="s">
        <v>447</v>
      </c>
      <c r="D397" s="174" t="s">
        <v>448</v>
      </c>
      <c r="E397" s="7"/>
    </row>
    <row r="398" spans="1:5" x14ac:dyDescent="0.25">
      <c r="A398" s="161" t="s">
        <v>300</v>
      </c>
      <c r="B398" s="162" t="s">
        <v>554</v>
      </c>
      <c r="C398" s="208" t="s">
        <v>254</v>
      </c>
      <c r="D398" s="202" t="s">
        <v>556</v>
      </c>
      <c r="E398" s="7"/>
    </row>
    <row r="399" spans="1:5" x14ac:dyDescent="0.25">
      <c r="A399" s="163"/>
      <c r="B399" s="166" t="s">
        <v>555</v>
      </c>
      <c r="C399" s="207" t="s">
        <v>254</v>
      </c>
      <c r="D399" s="202">
        <f>2.4*2.1</f>
        <v>5.04</v>
      </c>
      <c r="E399" s="7"/>
    </row>
    <row r="400" spans="1:5" x14ac:dyDescent="0.25">
      <c r="A400" s="163"/>
      <c r="B400" s="166" t="s">
        <v>557</v>
      </c>
      <c r="C400" s="207" t="s">
        <v>254</v>
      </c>
      <c r="D400" s="202">
        <f>1.5*2.1</f>
        <v>3.1500000000000004</v>
      </c>
      <c r="E400" s="7"/>
    </row>
    <row r="401" spans="1:6" ht="15.75" thickBot="1" x14ac:dyDescent="0.3">
      <c r="A401" s="307" t="s">
        <v>43</v>
      </c>
      <c r="B401" s="308"/>
      <c r="C401" s="309"/>
      <c r="D401" s="171">
        <f>D400+D399</f>
        <v>8.1900000000000013</v>
      </c>
      <c r="E401" s="7"/>
    </row>
    <row r="402" spans="1:6" x14ac:dyDescent="0.25">
      <c r="A402" s="161" t="s">
        <v>301</v>
      </c>
      <c r="B402" s="162" t="s">
        <v>520</v>
      </c>
      <c r="C402" s="208" t="s">
        <v>254</v>
      </c>
      <c r="D402" s="202" t="s">
        <v>558</v>
      </c>
      <c r="E402" s="7"/>
    </row>
    <row r="403" spans="1:6" x14ac:dyDescent="0.25">
      <c r="A403" s="163" t="s">
        <v>525</v>
      </c>
      <c r="B403" s="166" t="s">
        <v>559</v>
      </c>
      <c r="C403" s="207" t="s">
        <v>254</v>
      </c>
      <c r="D403" s="202">
        <f>2.4*0.6</f>
        <v>1.44</v>
      </c>
      <c r="E403" s="7"/>
    </row>
    <row r="404" spans="1:6" x14ac:dyDescent="0.25">
      <c r="A404" s="163" t="s">
        <v>526</v>
      </c>
      <c r="B404" s="166" t="s">
        <v>560</v>
      </c>
      <c r="C404" s="207" t="s">
        <v>537</v>
      </c>
      <c r="D404" s="202">
        <v>10</v>
      </c>
      <c r="E404" s="7"/>
      <c r="F404" s="12"/>
    </row>
    <row r="405" spans="1:6" x14ac:dyDescent="0.25">
      <c r="A405" s="163" t="s">
        <v>527</v>
      </c>
      <c r="B405" s="166" t="s">
        <v>561</v>
      </c>
      <c r="C405" s="207" t="s">
        <v>254</v>
      </c>
      <c r="D405" s="202">
        <f>0.5*0.5</f>
        <v>0.25</v>
      </c>
      <c r="E405" s="7"/>
    </row>
    <row r="406" spans="1:6" x14ac:dyDescent="0.25">
      <c r="A406" s="163" t="s">
        <v>547</v>
      </c>
      <c r="B406" s="166" t="s">
        <v>51</v>
      </c>
      <c r="C406" s="207" t="s">
        <v>537</v>
      </c>
      <c r="D406" s="202">
        <v>2</v>
      </c>
      <c r="E406" s="7"/>
    </row>
    <row r="407" spans="1:6" x14ac:dyDescent="0.25">
      <c r="A407" s="163" t="s">
        <v>563</v>
      </c>
      <c r="B407" s="166" t="s">
        <v>562</v>
      </c>
      <c r="C407" s="207" t="s">
        <v>254</v>
      </c>
      <c r="D407" s="202">
        <f>1*0.5</f>
        <v>0.5</v>
      </c>
      <c r="E407" s="7"/>
    </row>
    <row r="408" spans="1:6" x14ac:dyDescent="0.25">
      <c r="A408" s="199" t="s">
        <v>564</v>
      </c>
      <c r="B408" s="166" t="s">
        <v>51</v>
      </c>
      <c r="C408" s="207" t="s">
        <v>537</v>
      </c>
      <c r="D408" s="202">
        <v>3</v>
      </c>
      <c r="E408" s="7"/>
    </row>
    <row r="409" spans="1:6" ht="15.75" thickBot="1" x14ac:dyDescent="0.3">
      <c r="A409" s="307" t="s">
        <v>565</v>
      </c>
      <c r="B409" s="308"/>
      <c r="C409" s="309"/>
      <c r="D409" s="171">
        <f>(D403*D404)+(D405*D406)+(D407*D408)</f>
        <v>16.399999999999999</v>
      </c>
      <c r="E409" s="7"/>
    </row>
    <row r="410" spans="1:6" s="13" customFormat="1" x14ac:dyDescent="0.25">
      <c r="A410" s="161" t="s">
        <v>724</v>
      </c>
      <c r="B410" s="162" t="s">
        <v>566</v>
      </c>
      <c r="C410" s="208" t="s">
        <v>254</v>
      </c>
      <c r="D410" s="202" t="s">
        <v>556</v>
      </c>
    </row>
    <row r="411" spans="1:6" s="13" customFormat="1" x14ac:dyDescent="0.25">
      <c r="A411" s="163" t="s">
        <v>525</v>
      </c>
      <c r="B411" s="166" t="s">
        <v>61</v>
      </c>
      <c r="C411" s="207" t="s">
        <v>130</v>
      </c>
      <c r="D411" s="202">
        <v>3</v>
      </c>
    </row>
    <row r="412" spans="1:6" s="13" customFormat="1" x14ac:dyDescent="0.25">
      <c r="A412" s="163" t="s">
        <v>526</v>
      </c>
      <c r="B412" s="166" t="s">
        <v>567</v>
      </c>
      <c r="C412" s="207" t="s">
        <v>130</v>
      </c>
      <c r="D412" s="202">
        <v>2</v>
      </c>
    </row>
    <row r="413" spans="1:6" s="13" customFormat="1" ht="15.75" thickBot="1" x14ac:dyDescent="0.3">
      <c r="A413" s="307" t="s">
        <v>568</v>
      </c>
      <c r="B413" s="308"/>
      <c r="C413" s="309"/>
      <c r="D413" s="171">
        <f>D412*D411</f>
        <v>6</v>
      </c>
    </row>
    <row r="414" spans="1:6" ht="15.75" thickBot="1" x14ac:dyDescent="0.3">
      <c r="A414" s="155">
        <v>16</v>
      </c>
      <c r="B414" s="159" t="s">
        <v>35</v>
      </c>
      <c r="C414" s="160"/>
      <c r="D414" s="160"/>
      <c r="E414" s="7"/>
    </row>
    <row r="415" spans="1:6" ht="15.75" thickBot="1" x14ac:dyDescent="0.3">
      <c r="A415" s="174" t="s">
        <v>2</v>
      </c>
      <c r="B415" s="174" t="s">
        <v>446</v>
      </c>
      <c r="C415" s="174" t="s">
        <v>447</v>
      </c>
      <c r="D415" s="174" t="s">
        <v>448</v>
      </c>
      <c r="E415" s="7"/>
    </row>
    <row r="416" spans="1:6" x14ac:dyDescent="0.25">
      <c r="A416" s="161" t="str">
        <f>ORÇAMENTO!A233</f>
        <v>16.1</v>
      </c>
      <c r="B416" s="162" t="str">
        <f>ORÇAMENTO!D233</f>
        <v xml:space="preserve">VIDRO LISO 4 MM - COLOCADO </v>
      </c>
      <c r="C416" s="208" t="s">
        <v>254</v>
      </c>
      <c r="D416" s="202" t="s">
        <v>570</v>
      </c>
      <c r="E416" s="7"/>
    </row>
    <row r="417" spans="1:5" x14ac:dyDescent="0.25">
      <c r="A417" s="163"/>
      <c r="B417" s="166" t="s">
        <v>569</v>
      </c>
      <c r="C417" s="207" t="s">
        <v>254</v>
      </c>
      <c r="D417" s="202">
        <f>D409</f>
        <v>16.399999999999999</v>
      </c>
      <c r="E417" s="7"/>
    </row>
    <row r="418" spans="1:5" ht="15.75" thickBot="1" x14ac:dyDescent="0.3">
      <c r="A418" s="307" t="s">
        <v>8</v>
      </c>
      <c r="B418" s="308"/>
      <c r="C418" s="309"/>
      <c r="D418" s="171">
        <f>D417</f>
        <v>16.399999999999999</v>
      </c>
      <c r="E418" s="7"/>
    </row>
    <row r="419" spans="1:5" ht="15.75" thickBot="1" x14ac:dyDescent="0.3">
      <c r="A419" s="155">
        <v>17</v>
      </c>
      <c r="B419" s="159" t="s">
        <v>36</v>
      </c>
      <c r="C419" s="160"/>
      <c r="D419" s="160"/>
      <c r="E419" s="7"/>
    </row>
    <row r="420" spans="1:5" ht="15.75" thickBot="1" x14ac:dyDescent="0.3">
      <c r="A420" s="174" t="s">
        <v>2</v>
      </c>
      <c r="B420" s="174" t="s">
        <v>446</v>
      </c>
      <c r="C420" s="174" t="s">
        <v>447</v>
      </c>
      <c r="D420" s="174" t="s">
        <v>448</v>
      </c>
      <c r="E420" s="7"/>
    </row>
    <row r="421" spans="1:5" x14ac:dyDescent="0.25">
      <c r="A421" s="161" t="str">
        <f>ORÇAMENTO!A237</f>
        <v>17.1</v>
      </c>
      <c r="B421" s="162" t="str">
        <f>ORÇAMENTO!D237</f>
        <v xml:space="preserve">CHAPISCO COMUM </v>
      </c>
      <c r="C421" s="208" t="s">
        <v>254</v>
      </c>
      <c r="D421" s="202" t="s">
        <v>577</v>
      </c>
      <c r="E421" s="7"/>
    </row>
    <row r="422" spans="1:5" x14ac:dyDescent="0.25">
      <c r="A422" s="163"/>
      <c r="B422" s="166" t="s">
        <v>636</v>
      </c>
      <c r="C422" s="207" t="s">
        <v>254</v>
      </c>
      <c r="D422" s="202">
        <f>D338</f>
        <v>327.37</v>
      </c>
      <c r="E422" s="7"/>
    </row>
    <row r="423" spans="1:5" x14ac:dyDescent="0.25">
      <c r="A423" s="163"/>
      <c r="B423" s="166" t="s">
        <v>571</v>
      </c>
      <c r="C423" s="207" t="s">
        <v>537</v>
      </c>
      <c r="D423" s="202">
        <v>2</v>
      </c>
      <c r="E423" s="7"/>
    </row>
    <row r="424" spans="1:5" x14ac:dyDescent="0.25">
      <c r="A424" s="163"/>
      <c r="B424" s="166" t="s">
        <v>637</v>
      </c>
      <c r="C424" s="207" t="s">
        <v>254</v>
      </c>
      <c r="D424" s="202">
        <f>D342</f>
        <v>59.879999999999995</v>
      </c>
      <c r="E424" s="7"/>
    </row>
    <row r="425" spans="1:5" x14ac:dyDescent="0.25">
      <c r="A425" s="161"/>
      <c r="B425" s="166" t="s">
        <v>571</v>
      </c>
      <c r="C425" s="207" t="s">
        <v>537</v>
      </c>
      <c r="D425" s="202">
        <v>2</v>
      </c>
      <c r="E425" s="7"/>
    </row>
    <row r="426" spans="1:5" x14ac:dyDescent="0.25">
      <c r="A426" s="163"/>
      <c r="B426" s="166" t="s">
        <v>638</v>
      </c>
      <c r="C426" s="207" t="s">
        <v>254</v>
      </c>
      <c r="D426" s="202">
        <f>D343</f>
        <v>20.16</v>
      </c>
      <c r="E426" s="7"/>
    </row>
    <row r="427" spans="1:5" ht="15" customHeight="1" thickBot="1" x14ac:dyDescent="0.3">
      <c r="A427" s="307" t="s">
        <v>8</v>
      </c>
      <c r="B427" s="308"/>
      <c r="C427" s="309"/>
      <c r="D427" s="171">
        <f>(D422*D423)+(D424*D425)+D426</f>
        <v>794.66</v>
      </c>
      <c r="E427" s="7"/>
    </row>
    <row r="428" spans="1:5" x14ac:dyDescent="0.25">
      <c r="A428" s="161" t="str">
        <f>ORÇAMENTO!A238</f>
        <v>17.2</v>
      </c>
      <c r="B428" s="162" t="str">
        <f>ORÇAMENTO!D238</f>
        <v xml:space="preserve">EMBOÇO (1CI:4 ARML) </v>
      </c>
      <c r="C428" s="208" t="s">
        <v>254</v>
      </c>
      <c r="D428" s="202" t="s">
        <v>578</v>
      </c>
      <c r="E428" s="7"/>
    </row>
    <row r="429" spans="1:5" x14ac:dyDescent="0.25">
      <c r="A429" s="163"/>
      <c r="B429" s="166" t="s">
        <v>576</v>
      </c>
      <c r="C429" s="207" t="s">
        <v>254</v>
      </c>
      <c r="D429" s="202">
        <f>D427</f>
        <v>794.66</v>
      </c>
      <c r="E429" s="7"/>
    </row>
    <row r="430" spans="1:5" ht="15.75" thickBot="1" x14ac:dyDescent="0.3">
      <c r="A430" s="307" t="s">
        <v>8</v>
      </c>
      <c r="B430" s="308"/>
      <c r="C430" s="309"/>
      <c r="D430" s="171">
        <f>D429</f>
        <v>794.66</v>
      </c>
      <c r="E430" s="7"/>
    </row>
    <row r="431" spans="1:5" ht="30" x14ac:dyDescent="0.25">
      <c r="A431" s="161" t="str">
        <f>ORÇAMENTO!A239</f>
        <v>17.3</v>
      </c>
      <c r="B431" s="162" t="str">
        <f>ORÇAMENTO!D239</f>
        <v>REBOCO (1 CALH:4 ARFC+100kgCI/M3)</v>
      </c>
      <c r="C431" s="208" t="s">
        <v>254</v>
      </c>
      <c r="D431" s="202" t="s">
        <v>579</v>
      </c>
      <c r="E431" s="7"/>
    </row>
    <row r="432" spans="1:5" x14ac:dyDescent="0.25">
      <c r="A432" s="163" t="s">
        <v>525</v>
      </c>
      <c r="B432" s="162" t="s">
        <v>580</v>
      </c>
      <c r="C432" s="208" t="s">
        <v>254</v>
      </c>
      <c r="D432" s="211">
        <f>D430</f>
        <v>794.66</v>
      </c>
      <c r="E432" s="7"/>
    </row>
    <row r="433" spans="1:5" x14ac:dyDescent="0.25">
      <c r="A433" s="163"/>
      <c r="B433" s="166" t="s">
        <v>581</v>
      </c>
      <c r="C433" s="207" t="s">
        <v>254</v>
      </c>
      <c r="D433" s="202">
        <f>D434</f>
        <v>19.07</v>
      </c>
      <c r="E433" s="7"/>
    </row>
    <row r="434" spans="1:5" x14ac:dyDescent="0.25">
      <c r="A434" s="163"/>
      <c r="B434" s="166" t="s">
        <v>582</v>
      </c>
      <c r="C434" s="207" t="s">
        <v>254</v>
      </c>
      <c r="D434" s="202">
        <f>(1.5+2+1.5+2)*3-(2.1*0.8)-(0.5*0.5)</f>
        <v>19.07</v>
      </c>
      <c r="E434" s="7"/>
    </row>
    <row r="435" spans="1:5" x14ac:dyDescent="0.25">
      <c r="A435" s="163"/>
      <c r="B435" s="166" t="s">
        <v>583</v>
      </c>
      <c r="C435" s="207" t="s">
        <v>254</v>
      </c>
      <c r="D435" s="202">
        <f>(3.5+3.15+3.5+3.15)*1.5-(0.4*1.5)-(0.8*1.5)</f>
        <v>18.150000000000002</v>
      </c>
      <c r="E435" s="7"/>
    </row>
    <row r="436" spans="1:5" x14ac:dyDescent="0.25">
      <c r="A436" s="199" t="s">
        <v>526</v>
      </c>
      <c r="B436" s="214" t="s">
        <v>584</v>
      </c>
      <c r="C436" s="208" t="s">
        <v>254</v>
      </c>
      <c r="D436" s="211">
        <f>D433+D434+D435</f>
        <v>56.290000000000006</v>
      </c>
      <c r="E436" s="7"/>
    </row>
    <row r="437" spans="1:5" ht="15.75" thickBot="1" x14ac:dyDescent="0.3">
      <c r="A437" s="307" t="s">
        <v>585</v>
      </c>
      <c r="B437" s="308"/>
      <c r="C437" s="309"/>
      <c r="D437" s="171">
        <f>D432-D436</f>
        <v>738.37</v>
      </c>
      <c r="E437" s="7"/>
    </row>
    <row r="438" spans="1:5" x14ac:dyDescent="0.25">
      <c r="A438" s="161" t="s">
        <v>297</v>
      </c>
      <c r="B438" s="162" t="str">
        <f>ORÇAMENTO!D240</f>
        <v xml:space="preserve">REVESTIMENTO COM CERÂMICA </v>
      </c>
      <c r="C438" s="208" t="s">
        <v>254</v>
      </c>
      <c r="D438" s="202" t="s">
        <v>586</v>
      </c>
      <c r="E438" s="7"/>
    </row>
    <row r="439" spans="1:5" x14ac:dyDescent="0.25">
      <c r="A439" s="163"/>
      <c r="B439" s="166" t="s">
        <v>587</v>
      </c>
      <c r="C439" s="207" t="s">
        <v>254</v>
      </c>
      <c r="D439" s="202">
        <f>D436</f>
        <v>56.290000000000006</v>
      </c>
      <c r="E439" s="7"/>
    </row>
    <row r="440" spans="1:5" ht="15.75" thickBot="1" x14ac:dyDescent="0.3">
      <c r="A440" s="307" t="s">
        <v>8</v>
      </c>
      <c r="B440" s="308"/>
      <c r="C440" s="309"/>
      <c r="D440" s="171">
        <f>D439</f>
        <v>56.290000000000006</v>
      </c>
      <c r="E440" s="7"/>
    </row>
    <row r="441" spans="1:5" ht="15.75" thickBot="1" x14ac:dyDescent="0.3">
      <c r="A441" s="155">
        <v>18</v>
      </c>
      <c r="B441" s="159" t="s">
        <v>37</v>
      </c>
      <c r="C441" s="160"/>
      <c r="D441" s="160"/>
      <c r="E441" s="7"/>
    </row>
    <row r="442" spans="1:5" ht="15.75" thickBot="1" x14ac:dyDescent="0.3">
      <c r="A442" s="174" t="s">
        <v>2</v>
      </c>
      <c r="B442" s="174" t="s">
        <v>446</v>
      </c>
      <c r="C442" s="174" t="s">
        <v>447</v>
      </c>
      <c r="D442" s="174" t="s">
        <v>448</v>
      </c>
      <c r="E442" s="7"/>
    </row>
    <row r="443" spans="1:5" ht="30" x14ac:dyDescent="0.25">
      <c r="A443" s="161" t="str">
        <f>ORÇAMENTO!A244</f>
        <v>18.1</v>
      </c>
      <c r="B443" s="162" t="s">
        <v>592</v>
      </c>
      <c r="C443" s="208" t="s">
        <v>254</v>
      </c>
      <c r="D443" s="202" t="s">
        <v>588</v>
      </c>
      <c r="E443" s="7"/>
    </row>
    <row r="444" spans="1:5" x14ac:dyDescent="0.25">
      <c r="A444" s="163" t="s">
        <v>525</v>
      </c>
      <c r="B444" s="166" t="s">
        <v>589</v>
      </c>
      <c r="C444" s="207" t="s">
        <v>254</v>
      </c>
      <c r="D444" s="202">
        <f>11.7*20.85</f>
        <v>243.94499999999999</v>
      </c>
      <c r="E444" s="7"/>
    </row>
    <row r="445" spans="1:5" x14ac:dyDescent="0.25">
      <c r="A445" s="163" t="s">
        <v>526</v>
      </c>
      <c r="B445" s="166" t="s">
        <v>590</v>
      </c>
      <c r="C445" s="207" t="s">
        <v>254</v>
      </c>
      <c r="D445" s="202">
        <f>10.95+7+6.33+3+3</f>
        <v>30.28</v>
      </c>
      <c r="E445" s="7"/>
    </row>
    <row r="446" spans="1:5" ht="15.75" thickBot="1" x14ac:dyDescent="0.3">
      <c r="A446" s="307" t="s">
        <v>585</v>
      </c>
      <c r="B446" s="308"/>
      <c r="C446" s="309"/>
      <c r="D446" s="171">
        <f>D444-D445</f>
        <v>213.66499999999999</v>
      </c>
      <c r="E446" s="7"/>
    </row>
    <row r="447" spans="1:5" x14ac:dyDescent="0.25">
      <c r="A447" s="161" t="str">
        <f>ORÇAMENTO!A245</f>
        <v>18.2</v>
      </c>
      <c r="B447" s="162" t="str">
        <f>ORÇAMENTO!D245</f>
        <v xml:space="preserve">GESSO CORRIDO EM TETO </v>
      </c>
      <c r="C447" s="208" t="s">
        <v>254</v>
      </c>
      <c r="D447" s="202" t="s">
        <v>591</v>
      </c>
      <c r="E447" s="7"/>
    </row>
    <row r="448" spans="1:5" x14ac:dyDescent="0.25">
      <c r="A448" s="163"/>
      <c r="B448" s="166" t="s">
        <v>590</v>
      </c>
      <c r="C448" s="207" t="s">
        <v>254</v>
      </c>
      <c r="D448" s="202">
        <f>D445</f>
        <v>30.28</v>
      </c>
      <c r="E448" s="7"/>
    </row>
    <row r="449" spans="1:5" ht="15.75" thickBot="1" x14ac:dyDescent="0.3">
      <c r="A449" s="307" t="s">
        <v>8</v>
      </c>
      <c r="B449" s="308"/>
      <c r="C449" s="309"/>
      <c r="D449" s="171">
        <f>D448</f>
        <v>30.28</v>
      </c>
      <c r="E449" s="7"/>
    </row>
    <row r="450" spans="1:5" ht="15.75" thickBot="1" x14ac:dyDescent="0.3">
      <c r="A450" s="155">
        <v>19</v>
      </c>
      <c r="B450" s="159" t="s">
        <v>38</v>
      </c>
      <c r="C450" s="160"/>
      <c r="D450" s="160"/>
      <c r="E450" s="7"/>
    </row>
    <row r="451" spans="1:5" ht="15.75" thickBot="1" x14ac:dyDescent="0.3">
      <c r="A451" s="174" t="s">
        <v>2</v>
      </c>
      <c r="B451" s="174" t="s">
        <v>446</v>
      </c>
      <c r="C451" s="174" t="s">
        <v>447</v>
      </c>
      <c r="D451" s="174" t="s">
        <v>448</v>
      </c>
      <c r="E451" s="7"/>
    </row>
    <row r="452" spans="1:5" x14ac:dyDescent="0.25">
      <c r="A452" s="161" t="s">
        <v>330</v>
      </c>
      <c r="B452" s="162" t="s">
        <v>602</v>
      </c>
      <c r="C452" s="208" t="s">
        <v>254</v>
      </c>
      <c r="D452" s="202" t="s">
        <v>604</v>
      </c>
      <c r="E452" s="7"/>
    </row>
    <row r="453" spans="1:5" x14ac:dyDescent="0.25">
      <c r="A453" s="163" t="s">
        <v>525</v>
      </c>
      <c r="B453" s="166" t="s">
        <v>600</v>
      </c>
      <c r="C453" s="207" t="s">
        <v>254</v>
      </c>
      <c r="D453" s="202">
        <f>D459</f>
        <v>33.35</v>
      </c>
      <c r="E453" s="7"/>
    </row>
    <row r="454" spans="1:5" x14ac:dyDescent="0.25">
      <c r="A454" s="163" t="s">
        <v>526</v>
      </c>
      <c r="B454" s="166" t="s">
        <v>601</v>
      </c>
      <c r="C454" s="207" t="s">
        <v>254</v>
      </c>
      <c r="D454" s="202">
        <v>127.72</v>
      </c>
      <c r="E454" s="7"/>
    </row>
    <row r="455" spans="1:5" ht="15.75" thickBot="1" x14ac:dyDescent="0.3">
      <c r="A455" s="307" t="s">
        <v>532</v>
      </c>
      <c r="B455" s="308"/>
      <c r="C455" s="309"/>
      <c r="D455" s="171">
        <f>SUM(D453:D454)</f>
        <v>161.07</v>
      </c>
      <c r="E455" s="7"/>
    </row>
    <row r="456" spans="1:5" ht="30" x14ac:dyDescent="0.25">
      <c r="A456" s="161" t="s">
        <v>331</v>
      </c>
      <c r="B456" s="162" t="s">
        <v>605</v>
      </c>
      <c r="C456" s="208" t="s">
        <v>254</v>
      </c>
      <c r="D456" s="202" t="s">
        <v>606</v>
      </c>
      <c r="E456" s="7"/>
    </row>
    <row r="457" spans="1:5" x14ac:dyDescent="0.25">
      <c r="A457" s="163" t="s">
        <v>525</v>
      </c>
      <c r="B457" s="166" t="s">
        <v>607</v>
      </c>
      <c r="C457" s="207" t="s">
        <v>254</v>
      </c>
      <c r="D457" s="202">
        <f>20.15+12.6</f>
        <v>32.75</v>
      </c>
      <c r="E457" s="7"/>
    </row>
    <row r="458" spans="1:5" x14ac:dyDescent="0.25">
      <c r="A458" s="163" t="s">
        <v>526</v>
      </c>
      <c r="B458" s="166" t="s">
        <v>608</v>
      </c>
      <c r="C458" s="207" t="s">
        <v>254</v>
      </c>
      <c r="D458" s="202">
        <v>0.6</v>
      </c>
      <c r="E458" s="7"/>
    </row>
    <row r="459" spans="1:5" ht="15.75" thickBot="1" x14ac:dyDescent="0.3">
      <c r="A459" s="307" t="s">
        <v>536</v>
      </c>
      <c r="B459" s="308"/>
      <c r="C459" s="309"/>
      <c r="D459" s="171">
        <f>SUM(D457:D458)</f>
        <v>33.35</v>
      </c>
      <c r="E459" s="7"/>
    </row>
    <row r="460" spans="1:5" x14ac:dyDescent="0.25">
      <c r="A460" s="161" t="s">
        <v>332</v>
      </c>
      <c r="B460" s="162" t="s">
        <v>593</v>
      </c>
      <c r="C460" s="208" t="s">
        <v>254</v>
      </c>
      <c r="D460" s="202" t="s">
        <v>603</v>
      </c>
      <c r="E460" s="7"/>
    </row>
    <row r="461" spans="1:5" x14ac:dyDescent="0.25">
      <c r="A461" s="163"/>
      <c r="B461" s="166" t="s">
        <v>594</v>
      </c>
      <c r="C461" s="207" t="s">
        <v>254</v>
      </c>
      <c r="D461" s="202">
        <v>10.95</v>
      </c>
      <c r="E461" s="7"/>
    </row>
    <row r="462" spans="1:5" x14ac:dyDescent="0.25">
      <c r="A462" s="163"/>
      <c r="B462" s="166" t="s">
        <v>595</v>
      </c>
      <c r="C462" s="207" t="s">
        <v>254</v>
      </c>
      <c r="D462" s="202">
        <v>7</v>
      </c>
      <c r="E462" s="7"/>
    </row>
    <row r="463" spans="1:5" x14ac:dyDescent="0.25">
      <c r="A463" s="163"/>
      <c r="B463" s="166" t="s">
        <v>596</v>
      </c>
      <c r="C463" s="207" t="s">
        <v>254</v>
      </c>
      <c r="D463" s="202">
        <f>6.33+10.92</f>
        <v>17.25</v>
      </c>
      <c r="E463" s="7"/>
    </row>
    <row r="464" spans="1:5" x14ac:dyDescent="0.25">
      <c r="A464" s="163"/>
      <c r="B464" s="166" t="s">
        <v>597</v>
      </c>
      <c r="C464" s="207" t="s">
        <v>254</v>
      </c>
      <c r="D464" s="202">
        <v>3</v>
      </c>
      <c r="E464" s="7"/>
    </row>
    <row r="465" spans="1:5" x14ac:dyDescent="0.25">
      <c r="A465" s="163"/>
      <c r="B465" s="166" t="s">
        <v>598</v>
      </c>
      <c r="C465" s="207" t="s">
        <v>254</v>
      </c>
      <c r="D465" s="202">
        <v>3</v>
      </c>
      <c r="E465" s="7"/>
    </row>
    <row r="466" spans="1:5" x14ac:dyDescent="0.25">
      <c r="A466" s="199"/>
      <c r="B466" s="166" t="s">
        <v>599</v>
      </c>
      <c r="C466" s="212" t="s">
        <v>254</v>
      </c>
      <c r="D466" s="202">
        <v>202.17</v>
      </c>
      <c r="E466" s="7"/>
    </row>
    <row r="467" spans="1:5" x14ac:dyDescent="0.25">
      <c r="A467" s="199"/>
      <c r="B467" s="166" t="s">
        <v>619</v>
      </c>
      <c r="C467" s="212" t="s">
        <v>254</v>
      </c>
      <c r="D467" s="202">
        <f>(7.2*0.6*3)+(0.25*1*3)</f>
        <v>13.71</v>
      </c>
      <c r="E467" s="7"/>
    </row>
    <row r="468" spans="1:5" ht="15.75" thickBot="1" x14ac:dyDescent="0.3">
      <c r="A468" s="307" t="s">
        <v>8</v>
      </c>
      <c r="B468" s="308"/>
      <c r="C468" s="309"/>
      <c r="D468" s="171">
        <f>SUM(D461:D467)</f>
        <v>257.08</v>
      </c>
      <c r="E468" s="7"/>
    </row>
    <row r="469" spans="1:5" x14ac:dyDescent="0.25">
      <c r="A469" s="161" t="s">
        <v>333</v>
      </c>
      <c r="B469" s="162" t="s">
        <v>609</v>
      </c>
      <c r="C469" s="208" t="s">
        <v>254</v>
      </c>
      <c r="D469" s="202" t="s">
        <v>611</v>
      </c>
      <c r="E469" s="7"/>
    </row>
    <row r="470" spans="1:5" x14ac:dyDescent="0.25">
      <c r="A470" s="163"/>
      <c r="B470" s="166" t="s">
        <v>610</v>
      </c>
      <c r="C470" s="207" t="s">
        <v>254</v>
      </c>
      <c r="D470" s="202">
        <f>D454</f>
        <v>127.72</v>
      </c>
      <c r="E470" s="7"/>
    </row>
    <row r="471" spans="1:5" ht="15.75" thickBot="1" x14ac:dyDescent="0.3">
      <c r="A471" s="307"/>
      <c r="B471" s="308"/>
      <c r="C471" s="309"/>
      <c r="D471" s="171">
        <f>SUM(D470:D470)</f>
        <v>127.72</v>
      </c>
      <c r="E471" s="7"/>
    </row>
    <row r="472" spans="1:5" ht="30" customHeight="1" x14ac:dyDescent="0.25">
      <c r="A472" s="161" t="s">
        <v>334</v>
      </c>
      <c r="B472" s="162" t="s">
        <v>614</v>
      </c>
      <c r="C472" s="208" t="s">
        <v>733</v>
      </c>
      <c r="D472" s="202" t="s">
        <v>735</v>
      </c>
      <c r="E472" s="7"/>
    </row>
    <row r="473" spans="1:5" ht="30" customHeight="1" x14ac:dyDescent="0.25">
      <c r="A473" s="161"/>
      <c r="B473" s="166" t="s">
        <v>734</v>
      </c>
      <c r="C473" s="207" t="s">
        <v>130</v>
      </c>
      <c r="D473" s="202">
        <v>0.05</v>
      </c>
      <c r="E473" s="7"/>
    </row>
    <row r="474" spans="1:5" x14ac:dyDescent="0.25">
      <c r="A474" s="163"/>
      <c r="B474" s="166" t="s">
        <v>615</v>
      </c>
      <c r="C474" s="207" t="s">
        <v>254</v>
      </c>
      <c r="D474" s="202">
        <v>100.3</v>
      </c>
      <c r="E474" s="7"/>
    </row>
    <row r="475" spans="1:5" ht="15.75" thickBot="1" x14ac:dyDescent="0.3">
      <c r="A475" s="307" t="s">
        <v>8</v>
      </c>
      <c r="B475" s="308"/>
      <c r="C475" s="309"/>
      <c r="D475" s="171">
        <f>D474*D473</f>
        <v>5.0150000000000006</v>
      </c>
      <c r="E475" s="7"/>
    </row>
    <row r="476" spans="1:5" ht="30" x14ac:dyDescent="0.25">
      <c r="A476" s="161" t="s">
        <v>621</v>
      </c>
      <c r="B476" s="162" t="str">
        <f>ORÇAMENTO!D254</f>
        <v xml:space="preserve">GRANITINA 8MM FUNDIDA COM CONTRAPISO (1CI:3ARML) E=2CM E JUNTA PLASTICA 27MM </v>
      </c>
      <c r="C476" s="208" t="s">
        <v>254</v>
      </c>
      <c r="D476" s="202" t="s">
        <v>603</v>
      </c>
      <c r="E476" s="7"/>
    </row>
    <row r="477" spans="1:5" x14ac:dyDescent="0.25">
      <c r="A477" s="163"/>
      <c r="B477" s="166" t="s">
        <v>612</v>
      </c>
      <c r="C477" s="207" t="s">
        <v>254</v>
      </c>
      <c r="D477" s="202">
        <f>D468</f>
        <v>257.08</v>
      </c>
      <c r="E477" s="7"/>
    </row>
    <row r="478" spans="1:5" ht="15.75" thickBot="1" x14ac:dyDescent="0.3">
      <c r="A478" s="307" t="s">
        <v>536</v>
      </c>
      <c r="B478" s="308"/>
      <c r="C478" s="309"/>
      <c r="D478" s="171">
        <f>SUM(D477:D477)</f>
        <v>257.08</v>
      </c>
      <c r="E478" s="7"/>
    </row>
    <row r="479" spans="1:5" x14ac:dyDescent="0.25">
      <c r="A479" s="161" t="s">
        <v>622</v>
      </c>
      <c r="B479" s="162" t="str">
        <f>ORÇAMENTO!D255</f>
        <v xml:space="preserve">RODAPÉ FUNDIDO DE GRANITINA 7CM </v>
      </c>
      <c r="C479" s="208" t="s">
        <v>130</v>
      </c>
      <c r="D479" s="202" t="s">
        <v>613</v>
      </c>
      <c r="E479" s="7"/>
    </row>
    <row r="480" spans="1:5" x14ac:dyDescent="0.25">
      <c r="A480" s="163" t="s">
        <v>525</v>
      </c>
      <c r="B480" s="166" t="s">
        <v>616</v>
      </c>
      <c r="C480" s="207" t="s">
        <v>130</v>
      </c>
      <c r="D480" s="202">
        <f>77.76</f>
        <v>77.760000000000005</v>
      </c>
      <c r="E480" s="7"/>
    </row>
    <row r="481" spans="1:5" x14ac:dyDescent="0.25">
      <c r="A481" s="163"/>
      <c r="B481" s="166" t="s">
        <v>617</v>
      </c>
      <c r="C481" s="207" t="s">
        <v>130</v>
      </c>
      <c r="D481" s="202">
        <v>10.199999999999999</v>
      </c>
      <c r="E481" s="7"/>
    </row>
    <row r="482" spans="1:5" x14ac:dyDescent="0.25">
      <c r="A482" s="163" t="s">
        <v>526</v>
      </c>
      <c r="B482" s="166" t="s">
        <v>618</v>
      </c>
      <c r="C482" s="208" t="s">
        <v>130</v>
      </c>
      <c r="D482" s="202">
        <f>2.4+1.5+7.45</f>
        <v>11.35</v>
      </c>
      <c r="E482" s="7"/>
    </row>
    <row r="483" spans="1:5" ht="15.75" thickBot="1" x14ac:dyDescent="0.3">
      <c r="A483" s="307" t="s">
        <v>620</v>
      </c>
      <c r="B483" s="308"/>
      <c r="C483" s="309"/>
      <c r="D483" s="171">
        <f>D480+D481-D482</f>
        <v>76.610000000000014</v>
      </c>
      <c r="E483" s="7"/>
    </row>
    <row r="484" spans="1:5" ht="15.75" thickBot="1" x14ac:dyDescent="0.3">
      <c r="A484" s="155">
        <v>20</v>
      </c>
      <c r="B484" s="159" t="s">
        <v>39</v>
      </c>
      <c r="C484" s="160"/>
      <c r="D484" s="215"/>
      <c r="E484" s="7"/>
    </row>
    <row r="485" spans="1:5" ht="15.75" thickBot="1" x14ac:dyDescent="0.3">
      <c r="A485" s="174" t="s">
        <v>2</v>
      </c>
      <c r="B485" s="174" t="s">
        <v>446</v>
      </c>
      <c r="C485" s="174" t="s">
        <v>447</v>
      </c>
      <c r="D485" s="174" t="s">
        <v>448</v>
      </c>
      <c r="E485" s="7"/>
    </row>
    <row r="486" spans="1:5" x14ac:dyDescent="0.25">
      <c r="A486" s="161" t="str">
        <f>ORÇAMENTO!A259</f>
        <v>20.1</v>
      </c>
      <c r="B486" s="162" t="s">
        <v>625</v>
      </c>
      <c r="C486" s="208" t="s">
        <v>537</v>
      </c>
      <c r="D486" s="202" t="s">
        <v>623</v>
      </c>
      <c r="E486" s="7"/>
    </row>
    <row r="487" spans="1:5" x14ac:dyDescent="0.25">
      <c r="A487" s="163"/>
      <c r="B487" s="166" t="s">
        <v>316</v>
      </c>
      <c r="C487" s="207" t="s">
        <v>537</v>
      </c>
      <c r="D487" s="202">
        <v>4</v>
      </c>
      <c r="E487" s="7"/>
    </row>
    <row r="488" spans="1:5" ht="15.75" thickBot="1" x14ac:dyDescent="0.3">
      <c r="A488" s="307" t="s">
        <v>43</v>
      </c>
      <c r="B488" s="308"/>
      <c r="C488" s="309"/>
      <c r="D488" s="171">
        <f>D487</f>
        <v>4</v>
      </c>
      <c r="E488" s="7"/>
    </row>
    <row r="489" spans="1:5" x14ac:dyDescent="0.25">
      <c r="A489" s="161" t="str">
        <f>ORÇAMENTO!A260</f>
        <v>20.2</v>
      </c>
      <c r="B489" s="162" t="str">
        <f>ORÇAMENTO!D260</f>
        <v xml:space="preserve">BARRA DE APOIO EM AÇO INOX - 40 CM </v>
      </c>
      <c r="C489" s="208" t="s">
        <v>537</v>
      </c>
      <c r="D489" s="202" t="s">
        <v>623</v>
      </c>
      <c r="E489" s="7"/>
    </row>
    <row r="490" spans="1:5" x14ac:dyDescent="0.25">
      <c r="A490" s="163"/>
      <c r="B490" s="166" t="s">
        <v>302</v>
      </c>
      <c r="C490" s="207" t="s">
        <v>537</v>
      </c>
      <c r="D490" s="202">
        <v>1</v>
      </c>
      <c r="E490" s="7"/>
    </row>
    <row r="491" spans="1:5" x14ac:dyDescent="0.25">
      <c r="A491" s="163"/>
      <c r="B491" s="166" t="s">
        <v>303</v>
      </c>
      <c r="C491" s="207" t="s">
        <v>537</v>
      </c>
      <c r="D491" s="202">
        <v>1</v>
      </c>
      <c r="E491" s="7"/>
    </row>
    <row r="492" spans="1:5" ht="15.75" thickBot="1" x14ac:dyDescent="0.3">
      <c r="A492" s="307" t="s">
        <v>536</v>
      </c>
      <c r="B492" s="308"/>
      <c r="C492" s="309"/>
      <c r="D492" s="171">
        <f>SUM(D490:D491)</f>
        <v>2</v>
      </c>
      <c r="E492" s="7"/>
    </row>
    <row r="493" spans="1:5" x14ac:dyDescent="0.25">
      <c r="A493" s="161" t="str">
        <f>ORÇAMENTO!A261</f>
        <v>20.3</v>
      </c>
      <c r="B493" s="162" t="str">
        <f>ORÇAMENTO!D261</f>
        <v xml:space="preserve">BARRA DE APOIO EM AÇO INOX - 80 CM </v>
      </c>
      <c r="C493" s="208" t="s">
        <v>537</v>
      </c>
      <c r="D493" s="202" t="s">
        <v>623</v>
      </c>
      <c r="E493" s="7"/>
    </row>
    <row r="494" spans="1:5" x14ac:dyDescent="0.25">
      <c r="A494" s="163"/>
      <c r="B494" s="166" t="s">
        <v>624</v>
      </c>
      <c r="C494" s="207" t="s">
        <v>537</v>
      </c>
      <c r="D494" s="202">
        <v>1</v>
      </c>
      <c r="E494" s="7"/>
    </row>
    <row r="495" spans="1:5" x14ac:dyDescent="0.25">
      <c r="A495" s="163"/>
      <c r="B495" s="166" t="s">
        <v>278</v>
      </c>
      <c r="C495" s="207" t="s">
        <v>537</v>
      </c>
      <c r="D495" s="202">
        <v>1</v>
      </c>
      <c r="E495" s="7"/>
    </row>
    <row r="496" spans="1:5" ht="15.75" thickBot="1" x14ac:dyDescent="0.3">
      <c r="A496" s="307" t="s">
        <v>536</v>
      </c>
      <c r="B496" s="308"/>
      <c r="C496" s="309"/>
      <c r="D496" s="171">
        <f>SUM(D494:D495)</f>
        <v>2</v>
      </c>
      <c r="E496" s="7"/>
    </row>
    <row r="497" spans="1:5" x14ac:dyDescent="0.25">
      <c r="A497" s="161" t="str">
        <f>ORÇAMENTO!A262</f>
        <v>20.4</v>
      </c>
      <c r="B497" s="162" t="str">
        <f>ORÇAMENTO!D262</f>
        <v xml:space="preserve">DOBRADICA 3" x 3 1/2" FERRO POLIDO </v>
      </c>
      <c r="C497" s="208" t="s">
        <v>537</v>
      </c>
      <c r="D497" s="202" t="s">
        <v>626</v>
      </c>
      <c r="E497" s="7"/>
    </row>
    <row r="498" spans="1:5" x14ac:dyDescent="0.25">
      <c r="A498" s="163"/>
      <c r="B498" s="166" t="s">
        <v>316</v>
      </c>
      <c r="C498" s="207" t="s">
        <v>537</v>
      </c>
      <c r="D498" s="202">
        <v>4</v>
      </c>
      <c r="E498" s="7"/>
    </row>
    <row r="499" spans="1:5" x14ac:dyDescent="0.25">
      <c r="A499" s="163"/>
      <c r="B499" s="166" t="s">
        <v>627</v>
      </c>
      <c r="C499" s="208" t="s">
        <v>537</v>
      </c>
      <c r="D499" s="202">
        <v>3</v>
      </c>
      <c r="E499" s="7"/>
    </row>
    <row r="500" spans="1:5" ht="15.75" thickBot="1" x14ac:dyDescent="0.3">
      <c r="A500" s="307" t="s">
        <v>536</v>
      </c>
      <c r="B500" s="308"/>
      <c r="C500" s="309"/>
      <c r="D500" s="171">
        <f>D499*D498</f>
        <v>12</v>
      </c>
      <c r="E500" s="7"/>
    </row>
    <row r="501" spans="1:5" x14ac:dyDescent="0.25">
      <c r="A501" s="161" t="s">
        <v>699</v>
      </c>
      <c r="B501" s="162" t="s">
        <v>628</v>
      </c>
      <c r="C501" s="208" t="s">
        <v>537</v>
      </c>
      <c r="D501" s="202" t="s">
        <v>623</v>
      </c>
      <c r="E501" s="7"/>
    </row>
    <row r="502" spans="1:5" x14ac:dyDescent="0.25">
      <c r="A502" s="163"/>
      <c r="B502" s="166" t="s">
        <v>629</v>
      </c>
      <c r="C502" s="207" t="s">
        <v>537</v>
      </c>
      <c r="D502" s="202">
        <v>3</v>
      </c>
      <c r="E502" s="7"/>
    </row>
    <row r="503" spans="1:5" ht="15.75" thickBot="1" x14ac:dyDescent="0.3">
      <c r="A503" s="307" t="s">
        <v>43</v>
      </c>
      <c r="B503" s="308"/>
      <c r="C503" s="309"/>
      <c r="D503" s="171">
        <f>D502</f>
        <v>3</v>
      </c>
      <c r="E503" s="7"/>
    </row>
    <row r="504" spans="1:5" ht="15.75" thickBot="1" x14ac:dyDescent="0.3">
      <c r="A504" s="155">
        <v>21</v>
      </c>
      <c r="B504" s="159" t="s">
        <v>40</v>
      </c>
      <c r="C504" s="160"/>
      <c r="D504" s="160"/>
      <c r="E504" s="7"/>
    </row>
    <row r="505" spans="1:5" ht="15" customHeight="1" thickBot="1" x14ac:dyDescent="0.3">
      <c r="A505" s="174" t="s">
        <v>2</v>
      </c>
      <c r="B505" s="174" t="s">
        <v>446</v>
      </c>
      <c r="C505" s="174" t="s">
        <v>447</v>
      </c>
      <c r="D505" s="174" t="s">
        <v>448</v>
      </c>
      <c r="E505" s="7"/>
    </row>
    <row r="506" spans="1:5" x14ac:dyDescent="0.25">
      <c r="A506" s="161" t="s">
        <v>318</v>
      </c>
      <c r="B506" s="235" t="s">
        <v>727</v>
      </c>
      <c r="C506" s="208"/>
      <c r="D506" s="202" t="s">
        <v>630</v>
      </c>
      <c r="E506" s="7"/>
    </row>
    <row r="507" spans="1:5" x14ac:dyDescent="0.25">
      <c r="A507" s="161"/>
      <c r="B507" s="166" t="s">
        <v>52</v>
      </c>
      <c r="C507" s="207" t="s">
        <v>633</v>
      </c>
      <c r="D507" s="202">
        <v>6</v>
      </c>
      <c r="E507" s="7"/>
    </row>
    <row r="508" spans="1:5" x14ac:dyDescent="0.25">
      <c r="A508" s="163"/>
      <c r="B508" s="166" t="s">
        <v>631</v>
      </c>
      <c r="C508" s="207" t="s">
        <v>632</v>
      </c>
      <c r="D508" s="202">
        <v>8</v>
      </c>
      <c r="E508" s="7"/>
    </row>
    <row r="509" spans="1:5" ht="15.75" thickBot="1" x14ac:dyDescent="0.3">
      <c r="A509" s="307" t="s">
        <v>536</v>
      </c>
      <c r="B509" s="308"/>
      <c r="C509" s="309"/>
      <c r="D509" s="171">
        <f>D508*D507*22</f>
        <v>1056</v>
      </c>
      <c r="E509" s="7"/>
    </row>
    <row r="510" spans="1:5" ht="15.75" thickBot="1" x14ac:dyDescent="0.3">
      <c r="A510" s="155">
        <v>22</v>
      </c>
      <c r="B510" s="159" t="s">
        <v>41</v>
      </c>
      <c r="C510" s="160"/>
      <c r="D510" s="160"/>
      <c r="E510" s="7"/>
    </row>
    <row r="511" spans="1:5" ht="15.75" thickBot="1" x14ac:dyDescent="0.3">
      <c r="A511" s="174" t="s">
        <v>2</v>
      </c>
      <c r="B511" s="174" t="s">
        <v>446</v>
      </c>
      <c r="C511" s="174" t="s">
        <v>447</v>
      </c>
      <c r="D511" s="174" t="s">
        <v>448</v>
      </c>
      <c r="E511" s="7"/>
    </row>
    <row r="512" spans="1:5" x14ac:dyDescent="0.25">
      <c r="A512" s="161" t="str">
        <f>ORÇAMENTO!A271</f>
        <v>22.1</v>
      </c>
      <c r="B512" s="162" t="s">
        <v>402</v>
      </c>
      <c r="C512" s="208" t="s">
        <v>254</v>
      </c>
      <c r="D512" s="202" t="s">
        <v>635</v>
      </c>
      <c r="E512" s="7"/>
    </row>
    <row r="513" spans="1:5" x14ac:dyDescent="0.25">
      <c r="A513" s="163"/>
      <c r="B513" s="166" t="s">
        <v>634</v>
      </c>
      <c r="C513" s="207" t="s">
        <v>254</v>
      </c>
      <c r="D513" s="202">
        <f>D338</f>
        <v>327.37</v>
      </c>
      <c r="E513" s="7"/>
    </row>
    <row r="514" spans="1:5" ht="15.75" thickBot="1" x14ac:dyDescent="0.3">
      <c r="A514" s="307" t="s">
        <v>536</v>
      </c>
      <c r="B514" s="308"/>
      <c r="C514" s="309"/>
      <c r="D514" s="171">
        <f>D513</f>
        <v>327.37</v>
      </c>
      <c r="E514" s="7"/>
    </row>
    <row r="515" spans="1:5" ht="30" x14ac:dyDescent="0.25">
      <c r="A515" s="161" t="str">
        <f>ORÇAMENTO!A272</f>
        <v>22.2</v>
      </c>
      <c r="B515" s="162" t="s">
        <v>319</v>
      </c>
      <c r="C515" s="208" t="s">
        <v>254</v>
      </c>
      <c r="D515" s="202" t="s">
        <v>639</v>
      </c>
      <c r="E515" s="7"/>
    </row>
    <row r="516" spans="1:5" x14ac:dyDescent="0.25">
      <c r="A516" s="163" t="s">
        <v>525</v>
      </c>
      <c r="B516" s="166" t="s">
        <v>640</v>
      </c>
      <c r="C516" s="207" t="s">
        <v>254</v>
      </c>
      <c r="D516" s="202">
        <f>D437</f>
        <v>738.37</v>
      </c>
      <c r="E516" s="7"/>
    </row>
    <row r="517" spans="1:5" x14ac:dyDescent="0.25">
      <c r="A517" s="163" t="s">
        <v>526</v>
      </c>
      <c r="B517" s="166" t="s">
        <v>641</v>
      </c>
      <c r="C517" s="207" t="s">
        <v>254</v>
      </c>
      <c r="D517" s="202">
        <f>D514</f>
        <v>327.37</v>
      </c>
      <c r="E517" s="7"/>
    </row>
    <row r="518" spans="1:5" x14ac:dyDescent="0.25">
      <c r="A518" s="199" t="s">
        <v>527</v>
      </c>
      <c r="B518" s="200" t="s">
        <v>644</v>
      </c>
      <c r="C518" s="207" t="s">
        <v>254</v>
      </c>
      <c r="D518" s="202">
        <f>D449</f>
        <v>30.28</v>
      </c>
      <c r="E518" s="7"/>
    </row>
    <row r="519" spans="1:5" x14ac:dyDescent="0.25">
      <c r="A519" s="199" t="s">
        <v>547</v>
      </c>
      <c r="B519" s="200" t="s">
        <v>654</v>
      </c>
      <c r="C519" s="207" t="s">
        <v>254</v>
      </c>
      <c r="D519" s="202">
        <f>(31.14+18.5+5+4.85)*2.5-(3*2)</f>
        <v>142.72499999999999</v>
      </c>
      <c r="E519" s="7"/>
    </row>
    <row r="520" spans="1:5" ht="15.75" thickBot="1" x14ac:dyDescent="0.3">
      <c r="A520" s="307" t="s">
        <v>655</v>
      </c>
      <c r="B520" s="308"/>
      <c r="C520" s="309"/>
      <c r="D520" s="171">
        <f>D516-D517+D518+D519</f>
        <v>584.005</v>
      </c>
      <c r="E520" s="7"/>
    </row>
    <row r="521" spans="1:5" x14ac:dyDescent="0.25">
      <c r="A521" s="161" t="s">
        <v>322</v>
      </c>
      <c r="B521" s="162" t="str">
        <f>ORÇAMENTO!D274</f>
        <v>EMASSAMENTO/OLEO/ESQUADRIAS MADEIRA</v>
      </c>
      <c r="C521" s="208" t="s">
        <v>254</v>
      </c>
      <c r="D521" s="202" t="s">
        <v>642</v>
      </c>
      <c r="E521" s="7"/>
    </row>
    <row r="522" spans="1:5" x14ac:dyDescent="0.25">
      <c r="A522" s="163"/>
      <c r="B522" s="166" t="s">
        <v>643</v>
      </c>
      <c r="C522" s="207" t="s">
        <v>254</v>
      </c>
      <c r="D522" s="202">
        <f>D520-D518</f>
        <v>553.72500000000002</v>
      </c>
      <c r="E522" s="7"/>
    </row>
    <row r="523" spans="1:5" ht="15.75" thickBot="1" x14ac:dyDescent="0.3">
      <c r="A523" s="307" t="s">
        <v>43</v>
      </c>
      <c r="B523" s="308"/>
      <c r="C523" s="309"/>
      <c r="D523" s="171">
        <f>D522</f>
        <v>553.72500000000002</v>
      </c>
      <c r="E523" s="7"/>
    </row>
    <row r="524" spans="1:5" x14ac:dyDescent="0.25">
      <c r="A524" s="161" t="s">
        <v>323</v>
      </c>
      <c r="B524" s="162" t="s">
        <v>645</v>
      </c>
      <c r="C524" s="208" t="s">
        <v>254</v>
      </c>
      <c r="D524" s="202" t="s">
        <v>648</v>
      </c>
      <c r="E524" s="7"/>
    </row>
    <row r="525" spans="1:5" x14ac:dyDescent="0.25">
      <c r="A525" s="163" t="s">
        <v>525</v>
      </c>
      <c r="B525" s="166" t="s">
        <v>647</v>
      </c>
      <c r="C525" s="207" t="s">
        <v>254</v>
      </c>
      <c r="D525" s="207">
        <f>0.8*2.1*3</f>
        <v>5.0400000000000009</v>
      </c>
      <c r="E525" s="7"/>
    </row>
    <row r="526" spans="1:5" x14ac:dyDescent="0.25">
      <c r="A526" s="199" t="s">
        <v>526</v>
      </c>
      <c r="B526" s="200" t="s">
        <v>51</v>
      </c>
      <c r="C526" s="207" t="s">
        <v>537</v>
      </c>
      <c r="D526" s="202">
        <v>4</v>
      </c>
      <c r="E526" s="7"/>
    </row>
    <row r="527" spans="1:5" ht="15" customHeight="1" thickBot="1" x14ac:dyDescent="0.3">
      <c r="A527" s="307" t="s">
        <v>536</v>
      </c>
      <c r="B527" s="308"/>
      <c r="C527" s="309"/>
      <c r="D527" s="171">
        <f>D526*D525</f>
        <v>20.160000000000004</v>
      </c>
      <c r="E527" s="7"/>
    </row>
    <row r="528" spans="1:5" x14ac:dyDescent="0.25">
      <c r="A528" s="161" t="s">
        <v>324</v>
      </c>
      <c r="B528" s="162" t="s">
        <v>326</v>
      </c>
      <c r="C528" s="165" t="s">
        <v>254</v>
      </c>
      <c r="D528" s="202" t="s">
        <v>650</v>
      </c>
      <c r="E528" s="7"/>
    </row>
    <row r="529" spans="1:5" x14ac:dyDescent="0.25">
      <c r="A529" s="163"/>
      <c r="B529" s="166" t="s">
        <v>649</v>
      </c>
      <c r="C529" s="207" t="s">
        <v>254</v>
      </c>
      <c r="D529" s="202">
        <f>D527</f>
        <v>20.160000000000004</v>
      </c>
      <c r="E529" s="7"/>
    </row>
    <row r="530" spans="1:5" ht="15.75" thickBot="1" x14ac:dyDescent="0.3">
      <c r="A530" s="307" t="s">
        <v>8</v>
      </c>
      <c r="B530" s="308"/>
      <c r="C530" s="309"/>
      <c r="D530" s="171">
        <f>D529</f>
        <v>20.160000000000004</v>
      </c>
      <c r="E530" s="7"/>
    </row>
    <row r="531" spans="1:5" x14ac:dyDescent="0.25">
      <c r="A531" s="161" t="s">
        <v>325</v>
      </c>
      <c r="B531" s="162" t="s">
        <v>646</v>
      </c>
      <c r="C531" s="165" t="s">
        <v>254</v>
      </c>
      <c r="D531" s="202" t="s">
        <v>651</v>
      </c>
      <c r="E531" s="7"/>
    </row>
    <row r="532" spans="1:5" x14ac:dyDescent="0.25">
      <c r="A532" s="161"/>
      <c r="B532" s="166" t="s">
        <v>559</v>
      </c>
      <c r="C532" s="207" t="s">
        <v>254</v>
      </c>
      <c r="D532" s="202">
        <f>2.4*0.6</f>
        <v>1.44</v>
      </c>
      <c r="E532" s="7"/>
    </row>
    <row r="533" spans="1:5" x14ac:dyDescent="0.25">
      <c r="A533" s="163"/>
      <c r="B533" s="166" t="s">
        <v>560</v>
      </c>
      <c r="C533" s="207" t="s">
        <v>537</v>
      </c>
      <c r="D533" s="202">
        <v>10</v>
      </c>
      <c r="E533" s="7"/>
    </row>
    <row r="534" spans="1:5" x14ac:dyDescent="0.25">
      <c r="A534" s="199"/>
      <c r="B534" s="166" t="s">
        <v>561</v>
      </c>
      <c r="C534" s="207" t="s">
        <v>254</v>
      </c>
      <c r="D534" s="202">
        <f>0.5*0.5</f>
        <v>0.25</v>
      </c>
      <c r="E534" s="7"/>
    </row>
    <row r="535" spans="1:5" x14ac:dyDescent="0.25">
      <c r="A535" s="199"/>
      <c r="B535" s="166" t="s">
        <v>51</v>
      </c>
      <c r="C535" s="207" t="s">
        <v>537</v>
      </c>
      <c r="D535" s="202">
        <v>2</v>
      </c>
      <c r="E535" s="7"/>
    </row>
    <row r="536" spans="1:5" x14ac:dyDescent="0.25">
      <c r="A536" s="161"/>
      <c r="B536" s="200" t="s">
        <v>562</v>
      </c>
      <c r="C536" s="207" t="s">
        <v>254</v>
      </c>
      <c r="D536" s="202">
        <f>1*0.5</f>
        <v>0.5</v>
      </c>
      <c r="E536" s="7"/>
    </row>
    <row r="537" spans="1:5" x14ac:dyDescent="0.25">
      <c r="A537" s="163"/>
      <c r="B537" s="166" t="s">
        <v>51</v>
      </c>
      <c r="C537" s="207" t="s">
        <v>537</v>
      </c>
      <c r="D537" s="202">
        <v>3</v>
      </c>
      <c r="E537" s="7"/>
    </row>
    <row r="538" spans="1:5" x14ac:dyDescent="0.25">
      <c r="A538" s="199"/>
      <c r="B538" s="166" t="s">
        <v>555</v>
      </c>
      <c r="C538" s="207" t="s">
        <v>254</v>
      </c>
      <c r="D538" s="202">
        <f>2.4*2.1</f>
        <v>5.04</v>
      </c>
      <c r="E538" s="7"/>
    </row>
    <row r="539" spans="1:5" x14ac:dyDescent="0.25">
      <c r="A539" s="199"/>
      <c r="B539" s="166" t="s">
        <v>557</v>
      </c>
      <c r="C539" s="207" t="s">
        <v>254</v>
      </c>
      <c r="D539" s="202">
        <f>1.5*2.1</f>
        <v>3.1500000000000004</v>
      </c>
      <c r="E539" s="7"/>
    </row>
    <row r="540" spans="1:5" ht="15" customHeight="1" x14ac:dyDescent="0.25">
      <c r="A540" s="161"/>
      <c r="B540" s="166" t="s">
        <v>652</v>
      </c>
      <c r="C540" s="207" t="s">
        <v>254</v>
      </c>
      <c r="D540" s="202">
        <f>3*2</f>
        <v>6</v>
      </c>
      <c r="E540" s="7"/>
    </row>
    <row r="541" spans="1:5" ht="15" customHeight="1" x14ac:dyDescent="0.25">
      <c r="A541" s="161"/>
      <c r="B541" s="166" t="s">
        <v>656</v>
      </c>
      <c r="C541" s="207" t="s">
        <v>254</v>
      </c>
      <c r="D541" s="202">
        <f>2*2*0.9</f>
        <v>3.6</v>
      </c>
      <c r="E541" s="7"/>
    </row>
    <row r="542" spans="1:5" ht="15" customHeight="1" x14ac:dyDescent="0.25">
      <c r="A542" s="161"/>
      <c r="B542" s="166" t="s">
        <v>653</v>
      </c>
      <c r="C542" s="207" t="s">
        <v>537</v>
      </c>
      <c r="D542" s="202">
        <v>2</v>
      </c>
      <c r="E542" s="7"/>
    </row>
    <row r="543" spans="1:5" ht="15" customHeight="1" thickBot="1" x14ac:dyDescent="0.3">
      <c r="A543" s="307" t="s">
        <v>8</v>
      </c>
      <c r="B543" s="308"/>
      <c r="C543" s="309"/>
      <c r="D543" s="171">
        <f>((D532*D533)+(D534*D535)+(D536*D537)+(D538+D539+D540)+D541)*D542</f>
        <v>68.38</v>
      </c>
      <c r="E543" s="7"/>
    </row>
    <row r="544" spans="1:5" ht="15.75" thickBot="1" x14ac:dyDescent="0.3">
      <c r="A544" s="155">
        <v>23</v>
      </c>
      <c r="B544" s="159" t="s">
        <v>42</v>
      </c>
      <c r="C544" s="160"/>
      <c r="D544" s="160"/>
      <c r="E544" s="7"/>
    </row>
    <row r="545" spans="1:5" ht="15.75" thickBot="1" x14ac:dyDescent="0.3">
      <c r="A545" s="174" t="s">
        <v>2</v>
      </c>
      <c r="B545" s="174" t="s">
        <v>446</v>
      </c>
      <c r="C545" s="174" t="s">
        <v>447</v>
      </c>
      <c r="D545" s="174" t="s">
        <v>448</v>
      </c>
      <c r="E545" s="7"/>
    </row>
    <row r="546" spans="1:5" ht="31.5" x14ac:dyDescent="0.25">
      <c r="A546" s="161" t="str">
        <f>ORÇAMENTO!A280</f>
        <v>23.1</v>
      </c>
      <c r="B546" s="236" t="s">
        <v>403</v>
      </c>
      <c r="C546" s="165" t="s">
        <v>254</v>
      </c>
      <c r="D546" s="202" t="s">
        <v>659</v>
      </c>
      <c r="E546" s="7"/>
    </row>
    <row r="547" spans="1:5" x14ac:dyDescent="0.25">
      <c r="A547" s="161"/>
      <c r="B547" s="166" t="s">
        <v>657</v>
      </c>
      <c r="C547" s="207" t="s">
        <v>130</v>
      </c>
      <c r="D547" s="202">
        <f>(31.14+18.5+5+4.85)</f>
        <v>59.49</v>
      </c>
      <c r="E547" s="7"/>
    </row>
    <row r="548" spans="1:5" x14ac:dyDescent="0.25">
      <c r="A548" s="163"/>
      <c r="B548" s="166" t="s">
        <v>658</v>
      </c>
      <c r="C548" s="207" t="s">
        <v>130</v>
      </c>
      <c r="D548" s="202">
        <v>2.5</v>
      </c>
      <c r="E548" s="7"/>
    </row>
    <row r="549" spans="1:5" ht="15.75" thickBot="1" x14ac:dyDescent="0.3">
      <c r="A549" s="307" t="s">
        <v>8</v>
      </c>
      <c r="B549" s="308"/>
      <c r="C549" s="309"/>
      <c r="D549" s="171">
        <f>D548*D547</f>
        <v>148.72499999999999</v>
      </c>
      <c r="E549" s="7"/>
    </row>
    <row r="550" spans="1:5" x14ac:dyDescent="0.25">
      <c r="A550" s="161" t="s">
        <v>336</v>
      </c>
      <c r="B550" s="235" t="s">
        <v>397</v>
      </c>
      <c r="C550" s="165" t="s">
        <v>254</v>
      </c>
      <c r="D550" s="202" t="s">
        <v>661</v>
      </c>
      <c r="E550" s="7"/>
    </row>
    <row r="551" spans="1:5" x14ac:dyDescent="0.25">
      <c r="A551" s="161"/>
      <c r="B551" s="166" t="s">
        <v>660</v>
      </c>
      <c r="C551" s="207" t="s">
        <v>254</v>
      </c>
      <c r="D551" s="202">
        <v>185</v>
      </c>
      <c r="E551" s="7"/>
    </row>
    <row r="552" spans="1:5" ht="15.75" thickBot="1" x14ac:dyDescent="0.3">
      <c r="A552" s="307" t="s">
        <v>8</v>
      </c>
      <c r="B552" s="308"/>
      <c r="C552" s="309"/>
      <c r="D552" s="171">
        <f>D551</f>
        <v>185</v>
      </c>
      <c r="E552" s="7"/>
    </row>
    <row r="553" spans="1:5" x14ac:dyDescent="0.25">
      <c r="A553" s="161" t="s">
        <v>337</v>
      </c>
      <c r="B553" s="162" t="s">
        <v>662</v>
      </c>
      <c r="C553" s="165" t="s">
        <v>254</v>
      </c>
      <c r="D553" s="202" t="s">
        <v>664</v>
      </c>
      <c r="E553" s="7"/>
    </row>
    <row r="554" spans="1:5" ht="15" customHeight="1" x14ac:dyDescent="0.25">
      <c r="A554" s="161"/>
      <c r="B554" s="166" t="s">
        <v>663</v>
      </c>
      <c r="C554" s="207" t="s">
        <v>254</v>
      </c>
      <c r="D554" s="202">
        <f>D23</f>
        <v>253.79999999999998</v>
      </c>
      <c r="E554" s="7"/>
    </row>
    <row r="555" spans="1:5" ht="15.75" thickBot="1" x14ac:dyDescent="0.3">
      <c r="A555" s="307" t="s">
        <v>8</v>
      </c>
      <c r="B555" s="308"/>
      <c r="C555" s="309"/>
      <c r="D555" s="171">
        <f>D554</f>
        <v>253.79999999999998</v>
      </c>
      <c r="E555" s="7"/>
    </row>
    <row r="556" spans="1:5" x14ac:dyDescent="0.25">
      <c r="A556" s="161" t="s">
        <v>338</v>
      </c>
      <c r="B556" s="235" t="s">
        <v>729</v>
      </c>
      <c r="C556" s="165" t="s">
        <v>254</v>
      </c>
      <c r="D556" s="202" t="s">
        <v>556</v>
      </c>
      <c r="E556" s="7"/>
    </row>
    <row r="557" spans="1:5" x14ac:dyDescent="0.25">
      <c r="A557" s="161"/>
      <c r="B557" s="166" t="s">
        <v>665</v>
      </c>
      <c r="C557" s="207" t="s">
        <v>254</v>
      </c>
      <c r="D557" s="202">
        <f>0.6*0.8</f>
        <v>0.48</v>
      </c>
      <c r="E557" s="7"/>
    </row>
    <row r="558" spans="1:5" ht="15.75" thickBot="1" x14ac:dyDescent="0.3">
      <c r="A558" s="307" t="s">
        <v>8</v>
      </c>
      <c r="B558" s="308"/>
      <c r="C558" s="309"/>
      <c r="D558" s="171">
        <f>D557</f>
        <v>0.48</v>
      </c>
      <c r="E558" s="7"/>
    </row>
    <row r="559" spans="1:5" x14ac:dyDescent="0.25">
      <c r="A559" s="161" t="s">
        <v>339</v>
      </c>
      <c r="B559" s="235" t="s">
        <v>730</v>
      </c>
      <c r="C559" s="165" t="s">
        <v>537</v>
      </c>
      <c r="D559" s="202" t="s">
        <v>666</v>
      </c>
      <c r="E559" s="7"/>
    </row>
    <row r="560" spans="1:5" x14ac:dyDescent="0.25">
      <c r="A560" s="161"/>
      <c r="B560" s="166" t="s">
        <v>667</v>
      </c>
      <c r="C560" s="207" t="s">
        <v>537</v>
      </c>
      <c r="D560" s="202">
        <v>3</v>
      </c>
      <c r="E560" s="7"/>
    </row>
    <row r="561" spans="1:9" ht="15.75" thickBot="1" x14ac:dyDescent="0.3">
      <c r="A561" s="307" t="s">
        <v>8</v>
      </c>
      <c r="B561" s="308"/>
      <c r="C561" s="309"/>
      <c r="D561" s="171">
        <f>D560</f>
        <v>3</v>
      </c>
      <c r="E561" s="7"/>
    </row>
    <row r="562" spans="1:9" x14ac:dyDescent="0.25">
      <c r="A562" s="161" t="s">
        <v>340</v>
      </c>
      <c r="B562" s="235" t="s">
        <v>370</v>
      </c>
      <c r="C562" s="165" t="s">
        <v>254</v>
      </c>
      <c r="D562" s="202" t="s">
        <v>668</v>
      </c>
      <c r="E562" s="7"/>
    </row>
    <row r="563" spans="1:9" x14ac:dyDescent="0.25">
      <c r="A563" s="161"/>
      <c r="B563" s="166" t="s">
        <v>669</v>
      </c>
      <c r="C563" s="167" t="s">
        <v>254</v>
      </c>
      <c r="D563" s="202">
        <f>0.6*1</f>
        <v>0.6</v>
      </c>
      <c r="E563" s="7"/>
    </row>
    <row r="564" spans="1:9" ht="15.75" thickBot="1" x14ac:dyDescent="0.3">
      <c r="A564" s="307" t="s">
        <v>8</v>
      </c>
      <c r="B564" s="308"/>
      <c r="C564" s="309"/>
      <c r="D564" s="171">
        <f>D563</f>
        <v>0.6</v>
      </c>
      <c r="E564" s="7"/>
    </row>
    <row r="565" spans="1:9" x14ac:dyDescent="0.25">
      <c r="A565" s="161" t="s">
        <v>341</v>
      </c>
      <c r="B565" s="235" t="s">
        <v>731</v>
      </c>
      <c r="C565" s="165" t="s">
        <v>130</v>
      </c>
      <c r="D565" s="202" t="s">
        <v>670</v>
      </c>
      <c r="E565" s="7"/>
    </row>
    <row r="566" spans="1:9" x14ac:dyDescent="0.25">
      <c r="A566" s="161"/>
      <c r="B566" s="166" t="s">
        <v>671</v>
      </c>
      <c r="C566" s="207" t="s">
        <v>130</v>
      </c>
      <c r="D566" s="202">
        <f>0.3*23</f>
        <v>6.8999999999999995</v>
      </c>
      <c r="E566" s="7"/>
    </row>
    <row r="567" spans="1:9" ht="15.75" thickBot="1" x14ac:dyDescent="0.3">
      <c r="A567" s="307" t="s">
        <v>8</v>
      </c>
      <c r="B567" s="308"/>
      <c r="C567" s="309"/>
      <c r="D567" s="171">
        <f>D566</f>
        <v>6.8999999999999995</v>
      </c>
      <c r="E567" s="7"/>
    </row>
    <row r="568" spans="1:9" customFormat="1" x14ac:dyDescent="0.25">
      <c r="A568" s="17"/>
      <c r="B568" s="57"/>
      <c r="C568" s="156"/>
      <c r="D568" s="152"/>
    </row>
    <row r="569" spans="1:9" customFormat="1" x14ac:dyDescent="0.25">
      <c r="A569" s="21"/>
      <c r="B569" s="58"/>
      <c r="C569" s="157"/>
      <c r="D569" s="153"/>
    </row>
    <row r="570" spans="1:9" customFormat="1" ht="15" customHeight="1" x14ac:dyDescent="0.25">
      <c r="A570" s="313" t="s">
        <v>445</v>
      </c>
      <c r="B570" s="313"/>
      <c r="C570" s="285"/>
      <c r="D570" s="2"/>
      <c r="E570" s="1"/>
      <c r="F570" s="45"/>
      <c r="G570" s="24"/>
      <c r="H570" s="25"/>
      <c r="I570" s="92"/>
    </row>
    <row r="571" spans="1:9" customFormat="1" ht="15.75" customHeight="1" x14ac:dyDescent="0.25">
      <c r="A571" s="285"/>
      <c r="B571" s="285"/>
      <c r="C571" s="285"/>
      <c r="D571" s="2"/>
      <c r="E571" s="1"/>
      <c r="F571" s="45"/>
      <c r="G571" s="24"/>
      <c r="H571" s="25"/>
      <c r="I571" s="92"/>
    </row>
    <row r="572" spans="1:9" customFormat="1" ht="15.75" customHeight="1" x14ac:dyDescent="0.25">
      <c r="A572" s="285"/>
      <c r="B572" s="285"/>
      <c r="C572" s="285"/>
      <c r="D572" s="2"/>
      <c r="E572" s="1"/>
      <c r="F572" s="45"/>
      <c r="G572" s="24"/>
      <c r="H572" s="25"/>
      <c r="I572" s="92"/>
    </row>
    <row r="573" spans="1:9" customFormat="1" ht="15.75" customHeight="1" x14ac:dyDescent="0.25">
      <c r="A573" s="285"/>
      <c r="B573" s="285"/>
      <c r="C573" s="285"/>
      <c r="D573" s="2"/>
      <c r="E573" s="1"/>
      <c r="F573" s="45"/>
      <c r="G573" s="24"/>
      <c r="H573" s="25"/>
      <c r="I573" s="92"/>
    </row>
    <row r="574" spans="1:9" customFormat="1" x14ac:dyDescent="0.25">
      <c r="A574" s="285"/>
      <c r="B574" s="285" t="s">
        <v>372</v>
      </c>
      <c r="C574" s="314" t="s">
        <v>372</v>
      </c>
      <c r="D574" s="314"/>
      <c r="E574" s="1"/>
      <c r="F574" s="7"/>
      <c r="G574" s="1"/>
      <c r="H574" s="25"/>
      <c r="I574" s="92"/>
    </row>
    <row r="575" spans="1:9" customFormat="1" ht="15" customHeight="1" x14ac:dyDescent="0.25">
      <c r="A575" s="285"/>
      <c r="B575" s="43" t="s">
        <v>373</v>
      </c>
      <c r="C575" s="315" t="s">
        <v>780</v>
      </c>
      <c r="D575" s="315"/>
      <c r="E575" s="1"/>
      <c r="F575" s="7"/>
      <c r="G575" s="26"/>
      <c r="H575" s="25"/>
      <c r="I575" s="92"/>
    </row>
    <row r="576" spans="1:9" customFormat="1" ht="15.75" customHeight="1" x14ac:dyDescent="0.25">
      <c r="A576" s="26"/>
      <c r="B576" s="93" t="s">
        <v>374</v>
      </c>
      <c r="C576" s="316" t="s">
        <v>375</v>
      </c>
      <c r="D576" s="316"/>
      <c r="E576" s="95"/>
      <c r="F576" s="7"/>
      <c r="G576" s="97"/>
      <c r="H576" s="28"/>
      <c r="I576" s="29"/>
    </row>
    <row r="577" spans="1:9" customFormat="1" ht="15.75" customHeight="1" x14ac:dyDescent="0.25">
      <c r="A577" s="285"/>
      <c r="B577" s="93" t="s">
        <v>376</v>
      </c>
      <c r="C577" s="316" t="s">
        <v>781</v>
      </c>
      <c r="D577" s="316"/>
      <c r="E577" s="95"/>
      <c r="F577" s="7"/>
      <c r="G577" s="97"/>
      <c r="H577" s="28"/>
      <c r="I577" s="29"/>
    </row>
    <row r="578" spans="1:9" customFormat="1" ht="15" customHeight="1" x14ac:dyDescent="0.25">
      <c r="A578" s="56"/>
      <c r="B578" s="59"/>
      <c r="C578" s="154"/>
      <c r="D578" s="154"/>
    </row>
    <row r="579" spans="1:9" customFormat="1" x14ac:dyDescent="0.25">
      <c r="A579" s="21"/>
      <c r="B579" s="58"/>
      <c r="C579" s="157"/>
      <c r="D579" s="153"/>
    </row>
    <row r="580" spans="1:9" x14ac:dyDescent="0.25">
      <c r="A580" s="21"/>
      <c r="B580" s="58"/>
      <c r="C580" s="157"/>
      <c r="D580" s="153"/>
      <c r="E580" s="7"/>
    </row>
    <row r="581" spans="1:9" x14ac:dyDescent="0.25">
      <c r="A581" s="56" t="s">
        <v>342</v>
      </c>
      <c r="B581" s="58"/>
      <c r="C581" s="157"/>
      <c r="D581" s="153"/>
      <c r="E581" s="7"/>
    </row>
    <row r="582" spans="1:9" x14ac:dyDescent="0.25">
      <c r="A582" s="56"/>
      <c r="B582" s="58"/>
      <c r="C582" s="157"/>
      <c r="D582" s="153"/>
      <c r="E582" s="7"/>
    </row>
    <row r="583" spans="1:9" x14ac:dyDescent="0.25">
      <c r="E583" s="7"/>
    </row>
    <row r="584" spans="1:9" x14ac:dyDescent="0.25">
      <c r="E584" s="7"/>
    </row>
    <row r="585" spans="1:9" x14ac:dyDescent="0.25">
      <c r="E585" s="7"/>
    </row>
    <row r="586" spans="1:9" x14ac:dyDescent="0.25">
      <c r="E586" s="7"/>
    </row>
    <row r="587" spans="1:9" x14ac:dyDescent="0.25">
      <c r="E587" s="7"/>
    </row>
    <row r="588" spans="1:9" x14ac:dyDescent="0.25">
      <c r="E588" s="7"/>
    </row>
    <row r="589" spans="1:9" x14ac:dyDescent="0.25">
      <c r="E589" s="7"/>
    </row>
    <row r="590" spans="1:9" x14ac:dyDescent="0.25">
      <c r="E590" s="7"/>
    </row>
    <row r="591" spans="1:9" x14ac:dyDescent="0.25">
      <c r="E591" s="7"/>
    </row>
    <row r="592" spans="1:9" x14ac:dyDescent="0.25">
      <c r="E592" s="7"/>
    </row>
    <row r="593" spans="5:5" x14ac:dyDescent="0.25">
      <c r="E593" s="7"/>
    </row>
    <row r="594" spans="5:5" x14ac:dyDescent="0.25">
      <c r="E594" s="7"/>
    </row>
    <row r="595" spans="5:5" x14ac:dyDescent="0.25">
      <c r="E595" s="7"/>
    </row>
    <row r="596" spans="5:5" x14ac:dyDescent="0.25">
      <c r="E596" s="7"/>
    </row>
    <row r="597" spans="5:5" x14ac:dyDescent="0.25">
      <c r="E597" s="7"/>
    </row>
  </sheetData>
  <sheetProtection selectLockedCells="1"/>
  <mergeCells count="84">
    <mergeCell ref="A570:B570"/>
    <mergeCell ref="C574:D574"/>
    <mergeCell ref="C575:D575"/>
    <mergeCell ref="C576:D576"/>
    <mergeCell ref="C577:D577"/>
    <mergeCell ref="A561:C561"/>
    <mergeCell ref="A564:C564"/>
    <mergeCell ref="A567:C567"/>
    <mergeCell ref="A181:C181"/>
    <mergeCell ref="A543:C543"/>
    <mergeCell ref="A549:C549"/>
    <mergeCell ref="A552:C552"/>
    <mergeCell ref="A555:C555"/>
    <mergeCell ref="A558:C558"/>
    <mergeCell ref="A520:C520"/>
    <mergeCell ref="A523:C523"/>
    <mergeCell ref="A527:C527"/>
    <mergeCell ref="A530:C530"/>
    <mergeCell ref="A500:C500"/>
    <mergeCell ref="A475:C475"/>
    <mergeCell ref="A509:C509"/>
    <mergeCell ref="A514:C514"/>
    <mergeCell ref="A503:C503"/>
    <mergeCell ref="A478:C478"/>
    <mergeCell ref="A483:C483"/>
    <mergeCell ref="A488:C488"/>
    <mergeCell ref="A492:C492"/>
    <mergeCell ref="A496:C496"/>
    <mergeCell ref="A468:C468"/>
    <mergeCell ref="A455:C455"/>
    <mergeCell ref="A459:C459"/>
    <mergeCell ref="A471:C471"/>
    <mergeCell ref="A344:C344"/>
    <mergeCell ref="A430:C430"/>
    <mergeCell ref="A437:C437"/>
    <mergeCell ref="A446:C446"/>
    <mergeCell ref="A449:C449"/>
    <mergeCell ref="A440:C440"/>
    <mergeCell ref="A413:C413"/>
    <mergeCell ref="A418:C418"/>
    <mergeCell ref="A427:C427"/>
    <mergeCell ref="A395:C395"/>
    <mergeCell ref="A401:C401"/>
    <mergeCell ref="A409:C409"/>
    <mergeCell ref="A387:C387"/>
    <mergeCell ref="A365:C365"/>
    <mergeCell ref="A368:C368"/>
    <mergeCell ref="A374:C374"/>
    <mergeCell ref="A377:C377"/>
    <mergeCell ref="A383:C383"/>
    <mergeCell ref="A351:C351"/>
    <mergeCell ref="A355:C355"/>
    <mergeCell ref="A189:C189"/>
    <mergeCell ref="A195:C195"/>
    <mergeCell ref="A192:C192"/>
    <mergeCell ref="A174:C174"/>
    <mergeCell ref="A121:C121"/>
    <mergeCell ref="A126:C126"/>
    <mergeCell ref="A141:C141"/>
    <mergeCell ref="A159:C159"/>
    <mergeCell ref="A168:C168"/>
    <mergeCell ref="A145:C145"/>
    <mergeCell ref="A97:C97"/>
    <mergeCell ref="A104:C104"/>
    <mergeCell ref="A116:C116"/>
    <mergeCell ref="A31:C31"/>
    <mergeCell ref="A35:C35"/>
    <mergeCell ref="A38:C38"/>
    <mergeCell ref="A48:C48"/>
    <mergeCell ref="A111:C111"/>
    <mergeCell ref="A63:C63"/>
    <mergeCell ref="A66:C66"/>
    <mergeCell ref="A72:C72"/>
    <mergeCell ref="A79:C79"/>
    <mergeCell ref="A86:C86"/>
    <mergeCell ref="A1:C1"/>
    <mergeCell ref="A2:C2"/>
    <mergeCell ref="A44:C44"/>
    <mergeCell ref="A60:C60"/>
    <mergeCell ref="A56:C56"/>
    <mergeCell ref="A16:C16"/>
    <mergeCell ref="A19:C19"/>
    <mergeCell ref="A23:C23"/>
    <mergeCell ref="A27:C27"/>
  </mergeCells>
  <phoneticPr fontId="13" type="noConversion"/>
  <pageMargins left="0.511811024" right="0.511811024" top="0.78740157499999996" bottom="0.78740157499999996" header="0.31496062000000002" footer="0.31496062000000002"/>
  <pageSetup paperSize="9" scale="51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"/>
  <sheetViews>
    <sheetView workbookViewId="0">
      <selection activeCell="B15" sqref="B15:G20"/>
    </sheetView>
  </sheetViews>
  <sheetFormatPr defaultColWidth="21.42578125" defaultRowHeight="15" x14ac:dyDescent="0.25"/>
  <cols>
    <col min="1" max="1" width="16.5703125" customWidth="1"/>
    <col min="2" max="2" width="15.42578125" customWidth="1"/>
    <col min="3" max="3" width="17.42578125" customWidth="1"/>
    <col min="4" max="4" width="17" customWidth="1"/>
    <col min="5" max="5" width="16.85546875" customWidth="1"/>
    <col min="6" max="7" width="19.140625" customWidth="1"/>
    <col min="8" max="8" width="15.140625" customWidth="1"/>
    <col min="9" max="9" width="14.7109375" customWidth="1"/>
    <col min="10" max="10" width="18.28515625" customWidth="1"/>
  </cols>
  <sheetData>
    <row r="1" spans="1:10" x14ac:dyDescent="0.25">
      <c r="A1" s="238"/>
      <c r="B1" s="239"/>
      <c r="C1" s="320" t="str">
        <f>ORÇAMENTO!C1</f>
        <v>PREFEITURA MUNICIPAL DE CATALÃO</v>
      </c>
      <c r="D1" s="320"/>
      <c r="E1" s="320"/>
      <c r="F1" s="320"/>
      <c r="G1" s="320"/>
      <c r="H1" s="320"/>
      <c r="I1" s="320"/>
      <c r="J1" s="321"/>
    </row>
    <row r="2" spans="1:10" x14ac:dyDescent="0.25">
      <c r="A2" s="240"/>
      <c r="B2" s="242"/>
      <c r="C2" s="322" t="s">
        <v>737</v>
      </c>
      <c r="D2" s="322"/>
      <c r="E2" s="322"/>
      <c r="F2" s="322"/>
      <c r="G2" s="322"/>
      <c r="H2" s="322"/>
      <c r="I2" s="322"/>
      <c r="J2" s="323"/>
    </row>
    <row r="3" spans="1:10" x14ac:dyDescent="0.25">
      <c r="A3" s="240"/>
      <c r="B3" s="242"/>
      <c r="C3" s="241" t="str">
        <f>ORÇAMENTO!C3</f>
        <v>SETOR</v>
      </c>
      <c r="D3" s="246" t="str">
        <f>ORÇAMENTO!D3</f>
        <v>SECRETARIA MUNICIPAL DE OBRAS</v>
      </c>
      <c r="E3" s="241"/>
      <c r="F3" s="241"/>
      <c r="G3" s="241"/>
      <c r="H3" s="241"/>
      <c r="I3" s="241"/>
      <c r="J3" s="242"/>
    </row>
    <row r="4" spans="1:10" x14ac:dyDescent="0.25">
      <c r="A4" s="243"/>
      <c r="B4" s="245"/>
      <c r="C4" s="241" t="str">
        <f>ORÇAMENTO!C4</f>
        <v>OBJETO</v>
      </c>
      <c r="D4" s="246" t="str">
        <f>ORÇAMENTO!D4</f>
        <v>CONSTRUÇÃO DA SEDE DA ASSOCIAÇÃO DO TRUCO EM CATALÃO/GO</v>
      </c>
      <c r="E4" s="244"/>
      <c r="F4" s="244"/>
      <c r="G4" s="244"/>
      <c r="H4" s="244"/>
      <c r="I4" s="244"/>
      <c r="J4" s="245"/>
    </row>
    <row r="5" spans="1:10" x14ac:dyDescent="0.25">
      <c r="A5" s="228"/>
      <c r="B5" s="230"/>
      <c r="C5" s="241" t="str">
        <f>ORÇAMENTO!C5</f>
        <v>PROCESSO</v>
      </c>
      <c r="D5" s="246">
        <f>ORÇAMENTO!D5</f>
        <v>2021005210</v>
      </c>
      <c r="E5" s="229"/>
      <c r="F5" s="229"/>
      <c r="G5" s="229"/>
      <c r="H5" s="229"/>
      <c r="I5" s="229"/>
      <c r="J5" s="230"/>
    </row>
    <row r="6" spans="1:10" x14ac:dyDescent="0.25">
      <c r="A6" s="228"/>
      <c r="B6" s="230"/>
      <c r="C6" s="241" t="str">
        <f>ORÇAMENTO!C6</f>
        <v>ENDEREÇO</v>
      </c>
      <c r="D6" s="246" t="str">
        <f>ORÇAMENTO!D6</f>
        <v>AV. MANDAGUARI ESQ. RUA M2, APM-1, LOTEAMENTO PORTAL DO LAGO 2</v>
      </c>
      <c r="E6" s="229"/>
      <c r="F6" s="229"/>
      <c r="G6" s="229"/>
      <c r="H6" s="229"/>
      <c r="I6" s="229"/>
      <c r="J6" s="230"/>
    </row>
    <row r="7" spans="1:10" x14ac:dyDescent="0.25">
      <c r="A7" s="228"/>
      <c r="B7" s="230"/>
      <c r="C7" s="241" t="str">
        <f>ORÇAMENTO!C7</f>
        <v>TABELAS</v>
      </c>
      <c r="D7" s="246" t="str">
        <f>ORÇAMENTO!D7</f>
        <v>TABELA GOINFRA 142 - CUSTOS DE OBRAS CIVIS - NOVEMBRO/2020 - DESONERADA - DATA BASE: 01/11/2020</v>
      </c>
      <c r="E7" s="229"/>
      <c r="F7" s="229"/>
      <c r="G7" s="229"/>
      <c r="H7" s="229"/>
      <c r="I7" s="229"/>
      <c r="J7" s="230"/>
    </row>
    <row r="8" spans="1:10" x14ac:dyDescent="0.25">
      <c r="A8" s="228"/>
      <c r="B8" s="230"/>
      <c r="C8" s="241"/>
      <c r="D8" s="246" t="str">
        <f>ORÇAMENTO!D8</f>
        <v>TABELA SINAPI PCI.817.01 - CUSTO DE COMPOSIÇÕES - SINTÉTITICO - NOVEMBRO/2020 - COM DESONERAÇÃO - DATA BASE: 15/12/2020</v>
      </c>
      <c r="E8" s="229"/>
      <c r="F8" s="229"/>
      <c r="G8" s="229"/>
      <c r="H8" s="229"/>
      <c r="I8" s="229"/>
      <c r="J8" s="230"/>
    </row>
    <row r="9" spans="1:10" ht="15.75" thickBot="1" x14ac:dyDescent="0.3">
      <c r="A9" s="247"/>
      <c r="B9" s="251"/>
      <c r="C9" s="249" t="str">
        <f>ORÇAMENTO!C9</f>
        <v xml:space="preserve">DATA </v>
      </c>
      <c r="D9" s="250" t="str">
        <f>ORÇAMENTO!D9</f>
        <v>6 DE JANEIRO DE 2021</v>
      </c>
      <c r="E9" s="248"/>
      <c r="F9" s="248"/>
      <c r="G9" s="248"/>
      <c r="H9" s="248"/>
      <c r="I9" s="248"/>
      <c r="J9" s="251"/>
    </row>
    <row r="10" spans="1:10" x14ac:dyDescent="0.25">
      <c r="A10" s="317"/>
      <c r="B10" s="318"/>
      <c r="C10" s="318"/>
      <c r="D10" s="318"/>
      <c r="E10" s="318"/>
      <c r="F10" s="318"/>
      <c r="G10" s="318"/>
      <c r="H10" s="318"/>
      <c r="I10" s="318"/>
      <c r="J10" s="319"/>
    </row>
    <row r="11" spans="1:10" ht="33" x14ac:dyDescent="0.25">
      <c r="A11" s="48" t="s">
        <v>381</v>
      </c>
      <c r="B11" s="49" t="s">
        <v>382</v>
      </c>
      <c r="C11" s="49" t="s">
        <v>383</v>
      </c>
      <c r="D11" s="49" t="s">
        <v>384</v>
      </c>
      <c r="E11" s="49" t="s">
        <v>385</v>
      </c>
      <c r="F11" s="49" t="s">
        <v>386</v>
      </c>
      <c r="G11" s="49" t="s">
        <v>387</v>
      </c>
      <c r="H11" s="49" t="s">
        <v>388</v>
      </c>
      <c r="I11" s="49" t="s">
        <v>389</v>
      </c>
      <c r="J11" s="50" t="s">
        <v>390</v>
      </c>
    </row>
    <row r="12" spans="1:10" ht="17.25" thickBot="1" x14ac:dyDescent="0.3">
      <c r="A12" s="51">
        <v>4</v>
      </c>
      <c r="B12" s="52">
        <v>7.2</v>
      </c>
      <c r="C12" s="52">
        <v>0.28000000000000003</v>
      </c>
      <c r="D12" s="52">
        <v>0.12</v>
      </c>
      <c r="E12" s="52">
        <v>0.97</v>
      </c>
      <c r="F12" s="52">
        <v>2.4</v>
      </c>
      <c r="G12" s="52">
        <v>0.65</v>
      </c>
      <c r="H12" s="52">
        <v>3</v>
      </c>
      <c r="I12" s="52">
        <v>4.5</v>
      </c>
      <c r="J12" s="252">
        <v>26.3</v>
      </c>
    </row>
    <row r="13" spans="1:10" x14ac:dyDescent="0.25">
      <c r="A13" s="53" t="s">
        <v>391</v>
      </c>
      <c r="B13" s="23"/>
      <c r="C13" s="23"/>
      <c r="D13" s="23"/>
      <c r="E13" s="23"/>
      <c r="F13" s="23"/>
      <c r="G13" s="23"/>
      <c r="H13" s="23"/>
      <c r="I13" s="23"/>
      <c r="J13" s="36"/>
    </row>
    <row r="14" spans="1:10" x14ac:dyDescent="0.25">
      <c r="A14" s="21"/>
      <c r="B14" s="22"/>
      <c r="C14" s="22"/>
      <c r="D14" s="23"/>
      <c r="E14" s="1"/>
      <c r="F14" s="24"/>
      <c r="G14" s="25"/>
      <c r="H14" s="34"/>
      <c r="I14" s="23"/>
      <c r="J14" s="36"/>
    </row>
    <row r="15" spans="1:10" x14ac:dyDescent="0.25">
      <c r="A15" s="226"/>
      <c r="B15" s="227"/>
      <c r="C15" s="227"/>
      <c r="D15" s="23"/>
      <c r="E15" s="1"/>
      <c r="F15" s="24"/>
      <c r="G15" s="25"/>
      <c r="H15" s="34"/>
      <c r="I15" s="23"/>
      <c r="J15" s="36"/>
    </row>
    <row r="16" spans="1:10" x14ac:dyDescent="0.25">
      <c r="A16" s="21"/>
      <c r="B16" s="22"/>
      <c r="C16" s="1" t="s">
        <v>372</v>
      </c>
      <c r="D16" s="23"/>
      <c r="E16" s="1"/>
      <c r="F16" s="1" t="s">
        <v>372</v>
      </c>
      <c r="G16" s="25"/>
      <c r="H16" s="34"/>
      <c r="I16" s="1"/>
      <c r="J16" s="40"/>
    </row>
    <row r="17" spans="1:10" x14ac:dyDescent="0.25">
      <c r="A17" s="21"/>
      <c r="B17" s="22"/>
      <c r="C17" s="26" t="s">
        <v>373</v>
      </c>
      <c r="D17" s="23"/>
      <c r="E17" s="1"/>
      <c r="F17" s="286" t="str">
        <f>ORÇAMENTO!F301</f>
        <v>PHILIPJOHN RIBEIRO SILVA</v>
      </c>
      <c r="G17" s="25"/>
      <c r="H17" s="34"/>
      <c r="I17" s="26"/>
      <c r="J17" s="36"/>
    </row>
    <row r="18" spans="1:10" x14ac:dyDescent="0.25">
      <c r="A18" s="27"/>
      <c r="B18" s="28"/>
      <c r="C18" s="97" t="s">
        <v>374</v>
      </c>
      <c r="D18" s="287"/>
      <c r="E18" s="95"/>
      <c r="F18" s="97" t="s">
        <v>375</v>
      </c>
      <c r="G18" s="28"/>
      <c r="H18" s="33"/>
      <c r="I18" s="26"/>
      <c r="J18" s="36"/>
    </row>
    <row r="19" spans="1:10" x14ac:dyDescent="0.25">
      <c r="A19" s="21"/>
      <c r="B19" s="28"/>
      <c r="C19" s="97" t="s">
        <v>376</v>
      </c>
      <c r="D19" s="287"/>
      <c r="E19" s="95"/>
      <c r="F19" s="288" t="str">
        <f>ORÇAMENTO!F303</f>
        <v>CREA 1016927460/D-GO</v>
      </c>
      <c r="G19" s="28"/>
      <c r="H19" s="33"/>
      <c r="I19" s="26"/>
      <c r="J19" s="36"/>
    </row>
    <row r="20" spans="1:10" x14ac:dyDescent="0.25">
      <c r="A20" s="21"/>
      <c r="B20" s="28"/>
      <c r="C20" s="22"/>
      <c r="D20" s="23"/>
      <c r="E20" s="1"/>
      <c r="F20" s="25"/>
      <c r="G20" s="28"/>
      <c r="H20" s="33"/>
      <c r="I20" s="23"/>
      <c r="J20" s="36"/>
    </row>
    <row r="21" spans="1:10" ht="15.75" thickBot="1" x14ac:dyDescent="0.3">
      <c r="A21" s="30"/>
      <c r="B21" s="31"/>
      <c r="C21" s="31"/>
      <c r="D21" s="32"/>
      <c r="E21" s="31"/>
      <c r="F21" s="31"/>
      <c r="G21" s="31"/>
      <c r="H21" s="37"/>
      <c r="I21" s="38"/>
      <c r="J21" s="39"/>
    </row>
  </sheetData>
  <mergeCells count="3">
    <mergeCell ref="A10:J10"/>
    <mergeCell ref="C1:J1"/>
    <mergeCell ref="C2:J2"/>
  </mergeCells>
  <pageMargins left="0.51181102362204722" right="0.51181102362204722" top="0.78740157480314965" bottom="0.78740157480314965" header="0.31496062992125984" footer="0.31496062992125984"/>
  <pageSetup paperSize="9" scale="80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4"/>
  <sheetViews>
    <sheetView showGridLines="0" topLeftCell="A49" zoomScaleNormal="100" workbookViewId="0">
      <selection activeCell="K10" sqref="K10"/>
    </sheetView>
  </sheetViews>
  <sheetFormatPr defaultRowHeight="15" x14ac:dyDescent="0.25"/>
  <cols>
    <col min="1" max="1" width="5.42578125" bestFit="1" customWidth="1"/>
    <col min="2" max="2" width="31.5703125" customWidth="1"/>
    <col min="3" max="3" width="16.85546875" bestFit="1" customWidth="1"/>
    <col min="4" max="4" width="14.28515625" customWidth="1"/>
    <col min="5" max="8" width="15.85546875" bestFit="1" customWidth="1"/>
    <col min="9" max="9" width="18.28515625" customWidth="1"/>
    <col min="10" max="10" width="9.140625" style="278"/>
  </cols>
  <sheetData>
    <row r="1" spans="1:10" x14ac:dyDescent="0.25">
      <c r="A1" s="3"/>
      <c r="B1" s="35"/>
      <c r="C1" s="340" t="str">
        <f>ORÇAMENTO!C1</f>
        <v>PREFEITURA MUNICIPAL DE CATALÃO</v>
      </c>
      <c r="D1" s="320"/>
      <c r="E1" s="320"/>
      <c r="F1" s="320"/>
      <c r="G1" s="320"/>
      <c r="H1" s="320"/>
      <c r="I1" s="321"/>
    </row>
    <row r="2" spans="1:10" x14ac:dyDescent="0.25">
      <c r="A2" s="5"/>
      <c r="B2" s="36"/>
      <c r="C2" s="341" t="s">
        <v>789</v>
      </c>
      <c r="D2" s="322"/>
      <c r="E2" s="322"/>
      <c r="F2" s="322"/>
      <c r="G2" s="322"/>
      <c r="H2" s="322"/>
      <c r="I2" s="323"/>
    </row>
    <row r="3" spans="1:10" x14ac:dyDescent="0.25">
      <c r="A3" s="5"/>
      <c r="B3" s="36"/>
      <c r="C3" s="256" t="str">
        <f>ORÇAMENTO!C3</f>
        <v>SETOR</v>
      </c>
      <c r="D3" s="23" t="str">
        <f>ORÇAMENTO!D3</f>
        <v>SECRETARIA MUNICIPAL DE OBRAS</v>
      </c>
      <c r="E3" s="23"/>
      <c r="F3" s="23"/>
      <c r="G3" s="23"/>
      <c r="H3" s="23"/>
      <c r="I3" s="36"/>
    </row>
    <row r="4" spans="1:10" x14ac:dyDescent="0.25">
      <c r="A4" s="5"/>
      <c r="B4" s="36"/>
      <c r="C4" s="256" t="str">
        <f>ORÇAMENTO!C4</f>
        <v>OBJETO</v>
      </c>
      <c r="D4" s="23" t="str">
        <f>ORÇAMENTO!D4</f>
        <v>CONSTRUÇÃO DA SEDE DA ASSOCIAÇÃO DO TRUCO EM CATALÃO/GO</v>
      </c>
      <c r="E4" s="23"/>
      <c r="F4" s="23"/>
      <c r="G4" s="23"/>
      <c r="H4" s="23"/>
      <c r="I4" s="36"/>
    </row>
    <row r="5" spans="1:10" x14ac:dyDescent="0.25">
      <c r="A5" s="5"/>
      <c r="B5" s="36"/>
      <c r="C5" s="256" t="str">
        <f>ORÇAMENTO!C5</f>
        <v>PROCESSO</v>
      </c>
      <c r="D5" s="260">
        <f>ORÇAMENTO!D5</f>
        <v>2021005210</v>
      </c>
      <c r="E5" s="23"/>
      <c r="F5" s="23"/>
      <c r="G5" s="23"/>
      <c r="H5" s="23"/>
      <c r="I5" s="36"/>
    </row>
    <row r="6" spans="1:10" x14ac:dyDescent="0.25">
      <c r="A6" s="5"/>
      <c r="B6" s="36"/>
      <c r="C6" s="256" t="str">
        <f>ORÇAMENTO!C6</f>
        <v>ENDEREÇO</v>
      </c>
      <c r="D6" s="23" t="str">
        <f>ORÇAMENTO!D6</f>
        <v>AV. MANDAGUARI ESQ. RUA M2, APM-1, LOTEAMENTO PORTAL DO LAGO 2</v>
      </c>
      <c r="E6" s="23"/>
      <c r="F6" s="23"/>
      <c r="G6" s="23"/>
      <c r="H6" s="23"/>
      <c r="I6" s="36"/>
    </row>
    <row r="7" spans="1:10" x14ac:dyDescent="0.25">
      <c r="A7" s="5"/>
      <c r="B7" s="36"/>
      <c r="C7" s="256" t="str">
        <f>ORÇAMENTO!C7</f>
        <v>TABELAS</v>
      </c>
      <c r="D7" s="23" t="str">
        <f>ORÇAMENTO!D7</f>
        <v>TABELA GOINFRA 142 - CUSTOS DE OBRAS CIVIS - NOVEMBRO/2020 - DESONERADA - DATA BASE: 01/11/2020</v>
      </c>
      <c r="E7" s="23"/>
      <c r="F7" s="23"/>
      <c r="G7" s="23"/>
      <c r="H7" s="23"/>
      <c r="I7" s="36"/>
    </row>
    <row r="8" spans="1:10" ht="29.25" customHeight="1" x14ac:dyDescent="0.25">
      <c r="A8" s="5"/>
      <c r="B8" s="36"/>
      <c r="C8" s="256"/>
      <c r="D8" s="338" t="str">
        <f>ORÇAMENTO!D8</f>
        <v>TABELA SINAPI PCI.817.01 - CUSTO DE COMPOSIÇÕES - SINTÉTITICO - NOVEMBRO/2020 - COM DESONERAÇÃO - DATA BASE: 15/12/2020</v>
      </c>
      <c r="E8" s="338"/>
      <c r="F8" s="338"/>
      <c r="G8" s="338"/>
      <c r="H8" s="338"/>
      <c r="I8" s="339"/>
    </row>
    <row r="9" spans="1:10" ht="15.75" thickBot="1" x14ac:dyDescent="0.3">
      <c r="A9" s="257"/>
      <c r="B9" s="39"/>
      <c r="C9" s="258" t="str">
        <f>ORÇAMENTO!C9</f>
        <v xml:space="preserve">DATA </v>
      </c>
      <c r="D9" s="38" t="str">
        <f>ORÇAMENTO!D9</f>
        <v>6 DE JANEIRO DE 2021</v>
      </c>
      <c r="E9" s="38"/>
      <c r="F9" s="38"/>
      <c r="G9" s="38"/>
      <c r="H9" s="38"/>
      <c r="I9" s="39"/>
    </row>
    <row r="10" spans="1:10" x14ac:dyDescent="0.25">
      <c r="A10" s="254"/>
      <c r="B10" s="255"/>
      <c r="C10" s="255"/>
      <c r="D10" s="255"/>
      <c r="E10" s="255"/>
      <c r="F10" s="255"/>
      <c r="G10" s="255"/>
      <c r="H10" s="255"/>
      <c r="I10" s="255"/>
    </row>
    <row r="11" spans="1:10" x14ac:dyDescent="0.25">
      <c r="A11" s="343" t="s">
        <v>2</v>
      </c>
      <c r="B11" s="343" t="s">
        <v>451</v>
      </c>
      <c r="C11" s="343"/>
      <c r="D11" s="344" t="s">
        <v>738</v>
      </c>
      <c r="E11" s="344"/>
      <c r="F11" s="344"/>
      <c r="G11" s="344"/>
      <c r="H11" s="344"/>
      <c r="I11" s="344"/>
    </row>
    <row r="12" spans="1:10" x14ac:dyDescent="0.25">
      <c r="A12" s="343"/>
      <c r="B12" s="343"/>
      <c r="C12" s="343"/>
      <c r="D12" s="259" t="s">
        <v>739</v>
      </c>
      <c r="E12" s="259" t="s">
        <v>740</v>
      </c>
      <c r="F12" s="259" t="s">
        <v>741</v>
      </c>
      <c r="G12" s="259" t="s">
        <v>742</v>
      </c>
      <c r="H12" s="259" t="s">
        <v>743</v>
      </c>
      <c r="I12" s="259" t="s">
        <v>744</v>
      </c>
    </row>
    <row r="13" spans="1:10" x14ac:dyDescent="0.25">
      <c r="A13" s="336">
        <f>1</f>
        <v>1</v>
      </c>
      <c r="B13" s="336" t="s">
        <v>10</v>
      </c>
      <c r="C13" s="175" t="e">
        <f>C15/VALOR_TOTAL</f>
        <v>#DIV/0!</v>
      </c>
      <c r="D13" s="179">
        <v>0.75</v>
      </c>
      <c r="E13" s="179">
        <v>0.05</v>
      </c>
      <c r="F13" s="179">
        <v>0.05</v>
      </c>
      <c r="G13" s="179">
        <v>0.05</v>
      </c>
      <c r="H13" s="179">
        <v>0.05</v>
      </c>
      <c r="I13" s="179">
        <v>0.05</v>
      </c>
      <c r="J13" s="279">
        <f>SUM(D13:I13)</f>
        <v>1.0000000000000002</v>
      </c>
    </row>
    <row r="14" spans="1:10" ht="8.1" customHeight="1" x14ac:dyDescent="0.25">
      <c r="A14" s="336"/>
      <c r="B14" s="337"/>
      <c r="C14" s="176"/>
      <c r="D14" s="253"/>
      <c r="E14" s="253"/>
      <c r="F14" s="253"/>
      <c r="G14" s="253"/>
      <c r="H14" s="253"/>
      <c r="I14" s="253"/>
    </row>
    <row r="15" spans="1:10" x14ac:dyDescent="0.25">
      <c r="A15" s="336"/>
      <c r="B15" s="336"/>
      <c r="C15" s="177">
        <f>ORÇAMENTO!I21*BDI</f>
        <v>0</v>
      </c>
      <c r="D15" s="178">
        <f>D13*$C$15</f>
        <v>0</v>
      </c>
      <c r="E15" s="178">
        <f t="shared" ref="E15:I15" si="0">E13*$C$15</f>
        <v>0</v>
      </c>
      <c r="F15" s="178">
        <f t="shared" si="0"/>
        <v>0</v>
      </c>
      <c r="G15" s="178">
        <f t="shared" si="0"/>
        <v>0</v>
      </c>
      <c r="H15" s="178">
        <f t="shared" si="0"/>
        <v>0</v>
      </c>
      <c r="I15" s="178">
        <f t="shared" si="0"/>
        <v>0</v>
      </c>
    </row>
    <row r="16" spans="1:10" x14ac:dyDescent="0.25">
      <c r="A16" s="324">
        <f>A13+1</f>
        <v>2</v>
      </c>
      <c r="B16" s="324" t="str">
        <f>ORÇAMENTO!D23</f>
        <v>TRANSPORTES</v>
      </c>
      <c r="C16" s="175" t="e">
        <f>C18/VALOR_TOTAL</f>
        <v>#DIV/0!</v>
      </c>
      <c r="D16" s="179">
        <v>0.625</v>
      </c>
      <c r="E16" s="179">
        <v>7.4999999999999997E-2</v>
      </c>
      <c r="F16" s="179">
        <v>7.4999999999999997E-2</v>
      </c>
      <c r="G16" s="179">
        <v>7.4999999999999997E-2</v>
      </c>
      <c r="H16" s="179">
        <v>7.4999999999999997E-2</v>
      </c>
      <c r="I16" s="179">
        <v>7.4999999999999997E-2</v>
      </c>
      <c r="J16" s="279">
        <f>SUM(D16:I16)</f>
        <v>0.99999999999999978</v>
      </c>
    </row>
    <row r="17" spans="1:10" ht="8.1" customHeight="1" x14ac:dyDescent="0.25">
      <c r="A17" s="325"/>
      <c r="B17" s="342"/>
      <c r="C17" s="180"/>
      <c r="D17" s="253"/>
      <c r="E17" s="253"/>
      <c r="F17" s="253"/>
      <c r="G17" s="253"/>
      <c r="H17" s="253"/>
      <c r="I17" s="253"/>
    </row>
    <row r="18" spans="1:10" x14ac:dyDescent="0.25">
      <c r="A18" s="326"/>
      <c r="B18" s="326"/>
      <c r="C18" s="177">
        <f>ORÇAMENTO!I26*BDI</f>
        <v>0</v>
      </c>
      <c r="D18" s="178">
        <f>D16*$C$18</f>
        <v>0</v>
      </c>
      <c r="E18" s="178">
        <f t="shared" ref="E18:I18" si="1">E16*$C$18</f>
        <v>0</v>
      </c>
      <c r="F18" s="178">
        <f t="shared" si="1"/>
        <v>0</v>
      </c>
      <c r="G18" s="178">
        <f t="shared" si="1"/>
        <v>0</v>
      </c>
      <c r="H18" s="178">
        <f t="shared" si="1"/>
        <v>0</v>
      </c>
      <c r="I18" s="178">
        <f t="shared" si="1"/>
        <v>0</v>
      </c>
    </row>
    <row r="19" spans="1:10" x14ac:dyDescent="0.25">
      <c r="A19" s="324">
        <f>A16+1</f>
        <v>3</v>
      </c>
      <c r="B19" s="336" t="str">
        <f>ORÇAMENTO!D28</f>
        <v>SERVICO EM TERRA</v>
      </c>
      <c r="C19" s="175" t="e">
        <f>C21/VALOR_TOTAL</f>
        <v>#DIV/0!</v>
      </c>
      <c r="D19" s="262">
        <v>0.76700000000000002</v>
      </c>
      <c r="E19" s="262">
        <v>0.23300000000000001</v>
      </c>
      <c r="F19" s="262"/>
      <c r="G19" s="262"/>
      <c r="H19" s="262"/>
      <c r="I19" s="262"/>
      <c r="J19" s="279">
        <f>SUM(D19:I19)</f>
        <v>1</v>
      </c>
    </row>
    <row r="20" spans="1:10" ht="8.1" customHeight="1" x14ac:dyDescent="0.25">
      <c r="A20" s="325"/>
      <c r="B20" s="337"/>
      <c r="C20" s="180"/>
      <c r="D20" s="253"/>
      <c r="E20" s="253"/>
      <c r="F20" s="253"/>
      <c r="G20" s="253"/>
      <c r="H20" s="253"/>
      <c r="I20" s="253"/>
    </row>
    <row r="21" spans="1:10" x14ac:dyDescent="0.25">
      <c r="A21" s="326"/>
      <c r="B21" s="336"/>
      <c r="C21" s="177">
        <f>ORÇAMENTO!I33*BDI</f>
        <v>0</v>
      </c>
      <c r="D21" s="178">
        <f>D19*$C$21</f>
        <v>0</v>
      </c>
      <c r="E21" s="178">
        <f t="shared" ref="E21:I21" si="2">E19*$C$21</f>
        <v>0</v>
      </c>
      <c r="F21" s="178">
        <f t="shared" si="2"/>
        <v>0</v>
      </c>
      <c r="G21" s="178">
        <f t="shared" si="2"/>
        <v>0</v>
      </c>
      <c r="H21" s="178">
        <f t="shared" si="2"/>
        <v>0</v>
      </c>
      <c r="I21" s="178">
        <f t="shared" si="2"/>
        <v>0</v>
      </c>
    </row>
    <row r="22" spans="1:10" x14ac:dyDescent="0.25">
      <c r="A22" s="324">
        <f>A19+1</f>
        <v>4</v>
      </c>
      <c r="B22" s="333" t="str">
        <f>ORÇAMENTO!D35</f>
        <v>FUNDACOES E SONDAGENS</v>
      </c>
      <c r="C22" s="175" t="e">
        <f>C24/VALOR_TOTAL</f>
        <v>#DIV/0!</v>
      </c>
      <c r="D22" s="182">
        <v>0.1</v>
      </c>
      <c r="E22" s="182">
        <v>0.9</v>
      </c>
      <c r="F22" s="182"/>
      <c r="G22" s="182"/>
      <c r="H22" s="182"/>
      <c r="I22" s="182"/>
      <c r="J22" s="279">
        <f>SUM(D22:I22)</f>
        <v>1</v>
      </c>
    </row>
    <row r="23" spans="1:10" ht="8.1" customHeight="1" x14ac:dyDescent="0.25">
      <c r="A23" s="325"/>
      <c r="B23" s="334"/>
      <c r="C23" s="183"/>
      <c r="D23" s="253"/>
      <c r="E23" s="253"/>
      <c r="F23" s="253"/>
      <c r="G23" s="253"/>
      <c r="H23" s="253"/>
      <c r="I23" s="253"/>
    </row>
    <row r="24" spans="1:10" x14ac:dyDescent="0.25">
      <c r="A24" s="326"/>
      <c r="B24" s="333"/>
      <c r="C24" s="177">
        <f>ORÇAMENTO!I45*BDI</f>
        <v>0</v>
      </c>
      <c r="D24" s="178">
        <f>D22*$C$24</f>
        <v>0</v>
      </c>
      <c r="E24" s="178">
        <f t="shared" ref="E24:I24" si="3">E22*$C$24</f>
        <v>0</v>
      </c>
      <c r="F24" s="178">
        <f t="shared" si="3"/>
        <v>0</v>
      </c>
      <c r="G24" s="178">
        <f t="shared" si="3"/>
        <v>0</v>
      </c>
      <c r="H24" s="178">
        <f t="shared" si="3"/>
        <v>0</v>
      </c>
      <c r="I24" s="178">
        <f t="shared" si="3"/>
        <v>0</v>
      </c>
    </row>
    <row r="25" spans="1:10" x14ac:dyDescent="0.25">
      <c r="A25" s="324">
        <f>A22+1</f>
        <v>5</v>
      </c>
      <c r="B25" s="333" t="str">
        <f>ORÇAMENTO!D47</f>
        <v>ESTRUTURA</v>
      </c>
      <c r="C25" s="175" t="e">
        <f>C27/VALOR_TOTAL</f>
        <v>#DIV/0!</v>
      </c>
      <c r="D25" s="261"/>
      <c r="E25" s="261">
        <v>0.25</v>
      </c>
      <c r="F25" s="261">
        <v>0.75</v>
      </c>
      <c r="G25" s="261"/>
      <c r="H25" s="261"/>
      <c r="I25" s="261"/>
      <c r="J25" s="279">
        <f>SUM(D25:I25)</f>
        <v>1</v>
      </c>
    </row>
    <row r="26" spans="1:10" ht="8.1" customHeight="1" x14ac:dyDescent="0.25">
      <c r="A26" s="325"/>
      <c r="B26" s="334"/>
      <c r="C26" s="183"/>
      <c r="D26" s="253"/>
      <c r="E26" s="253"/>
      <c r="F26" s="253"/>
      <c r="G26" s="253"/>
      <c r="H26" s="253"/>
      <c r="I26" s="253"/>
    </row>
    <row r="27" spans="1:10" x14ac:dyDescent="0.25">
      <c r="A27" s="326"/>
      <c r="B27" s="333"/>
      <c r="C27" s="177">
        <f>ORÇAMENTO!I57*BDI</f>
        <v>0</v>
      </c>
      <c r="D27" s="178">
        <f>D25*$C$27</f>
        <v>0</v>
      </c>
      <c r="E27" s="178">
        <f t="shared" ref="E27:I27" si="4">E25*$C$27</f>
        <v>0</v>
      </c>
      <c r="F27" s="178">
        <f t="shared" si="4"/>
        <v>0</v>
      </c>
      <c r="G27" s="178">
        <f t="shared" si="4"/>
        <v>0</v>
      </c>
      <c r="H27" s="178">
        <f t="shared" si="4"/>
        <v>0</v>
      </c>
      <c r="I27" s="178">
        <f t="shared" si="4"/>
        <v>0</v>
      </c>
    </row>
    <row r="28" spans="1:10" x14ac:dyDescent="0.25">
      <c r="A28" s="324">
        <f>A25+1</f>
        <v>6</v>
      </c>
      <c r="B28" s="327" t="str">
        <f>ORÇAMENTO!D59</f>
        <v>INST. ELET./TELEFONICA/CABEAMENTO ESTRUTURADO</v>
      </c>
      <c r="C28" s="175" t="e">
        <f>C30/VALOR_TOTAL</f>
        <v>#DIV/0!</v>
      </c>
      <c r="D28" s="261"/>
      <c r="E28" s="261"/>
      <c r="F28" s="261"/>
      <c r="G28" s="261">
        <v>0.25</v>
      </c>
      <c r="H28" s="261">
        <v>0.75</v>
      </c>
      <c r="I28" s="261"/>
      <c r="J28" s="279">
        <f>SUM(D28:I28)</f>
        <v>1</v>
      </c>
    </row>
    <row r="29" spans="1:10" ht="8.1" customHeight="1" x14ac:dyDescent="0.25">
      <c r="A29" s="325"/>
      <c r="B29" s="328"/>
      <c r="C29" s="183"/>
      <c r="D29" s="253"/>
      <c r="E29" s="253"/>
      <c r="F29" s="253"/>
      <c r="G29" s="253"/>
      <c r="H29" s="253"/>
      <c r="I29" s="253"/>
    </row>
    <row r="30" spans="1:10" ht="27" customHeight="1" x14ac:dyDescent="0.25">
      <c r="A30" s="326"/>
      <c r="B30" s="329"/>
      <c r="C30" s="177">
        <f>ORÇAMENTO!I93*BDI</f>
        <v>0</v>
      </c>
      <c r="D30" s="178">
        <f>D28*$C$30</f>
        <v>0</v>
      </c>
      <c r="E30" s="178">
        <f t="shared" ref="E30:I30" si="5">E28*$C$30</f>
        <v>0</v>
      </c>
      <c r="F30" s="178">
        <f t="shared" si="5"/>
        <v>0</v>
      </c>
      <c r="G30" s="178">
        <f t="shared" si="5"/>
        <v>0</v>
      </c>
      <c r="H30" s="178">
        <f t="shared" si="5"/>
        <v>0</v>
      </c>
      <c r="I30" s="178">
        <f t="shared" si="5"/>
        <v>0</v>
      </c>
    </row>
    <row r="31" spans="1:10" x14ac:dyDescent="0.25">
      <c r="A31" s="324">
        <f>A28+1</f>
        <v>7</v>
      </c>
      <c r="B31" s="324" t="str">
        <f>ORÇAMENTO!D95</f>
        <v>INSTALAÇÕES HIDROSSANITÁRIAS</v>
      </c>
      <c r="C31" s="184" t="e">
        <f>C33/VALOR_TOTAL</f>
        <v>#DIV/0!</v>
      </c>
      <c r="D31" s="261"/>
      <c r="E31" s="261"/>
      <c r="F31" s="261"/>
      <c r="G31" s="261"/>
      <c r="H31" s="261">
        <v>1</v>
      </c>
      <c r="I31" s="261"/>
      <c r="J31" s="279">
        <f>SUM(D31:I31)</f>
        <v>1</v>
      </c>
    </row>
    <row r="32" spans="1:10" ht="8.1" customHeight="1" x14ac:dyDescent="0.25">
      <c r="A32" s="325"/>
      <c r="B32" s="325"/>
      <c r="C32" s="185"/>
      <c r="D32" s="253"/>
      <c r="E32" s="253"/>
      <c r="F32" s="253"/>
      <c r="G32" s="253"/>
      <c r="H32" s="253"/>
      <c r="I32" s="253"/>
    </row>
    <row r="33" spans="1:10" x14ac:dyDescent="0.25">
      <c r="A33" s="326"/>
      <c r="B33" s="326"/>
      <c r="C33" s="186">
        <f>ORÇAMENTO!I186*BDI</f>
        <v>0</v>
      </c>
      <c r="D33" s="178">
        <f>D31*$C$33</f>
        <v>0</v>
      </c>
      <c r="E33" s="178">
        <f t="shared" ref="E33:I33" si="6">E31*$C$33</f>
        <v>0</v>
      </c>
      <c r="F33" s="178">
        <f t="shared" si="6"/>
        <v>0</v>
      </c>
      <c r="G33" s="178">
        <f t="shared" si="6"/>
        <v>0</v>
      </c>
      <c r="H33" s="178">
        <f t="shared" si="6"/>
        <v>0</v>
      </c>
      <c r="I33" s="178">
        <f t="shared" si="6"/>
        <v>0</v>
      </c>
    </row>
    <row r="34" spans="1:10" x14ac:dyDescent="0.25">
      <c r="A34" s="324">
        <f>A31+1</f>
        <v>8</v>
      </c>
      <c r="B34" s="333" t="str">
        <f>ORÇAMENTO!D188</f>
        <v>INSTALACOES ESPECIAIS</v>
      </c>
      <c r="C34" s="175" t="e">
        <f>C36/VALOR_TOTAL</f>
        <v>#DIV/0!</v>
      </c>
      <c r="D34" s="261"/>
      <c r="E34" s="261"/>
      <c r="F34" s="261"/>
      <c r="G34" s="261"/>
      <c r="H34" s="261">
        <v>1</v>
      </c>
      <c r="I34" s="261"/>
      <c r="J34" s="279">
        <f>SUM(D34:I34)</f>
        <v>1</v>
      </c>
    </row>
    <row r="35" spans="1:10" ht="8.1" customHeight="1" x14ac:dyDescent="0.25">
      <c r="A35" s="325"/>
      <c r="B35" s="334"/>
      <c r="C35" s="183"/>
      <c r="D35" s="253"/>
      <c r="E35" s="253"/>
      <c r="F35" s="253"/>
      <c r="G35" s="253"/>
      <c r="H35" s="253"/>
      <c r="I35" s="253"/>
    </row>
    <row r="36" spans="1:10" x14ac:dyDescent="0.25">
      <c r="A36" s="326"/>
      <c r="B36" s="333"/>
      <c r="C36" s="177">
        <f>ORÇAMENTO!I195*BDI</f>
        <v>0</v>
      </c>
      <c r="D36" s="178">
        <f>D34*$C$36</f>
        <v>0</v>
      </c>
      <c r="E36" s="178">
        <f t="shared" ref="E36:I36" si="7">E34*$C$36</f>
        <v>0</v>
      </c>
      <c r="F36" s="178">
        <f t="shared" si="7"/>
        <v>0</v>
      </c>
      <c r="G36" s="178">
        <f t="shared" si="7"/>
        <v>0</v>
      </c>
      <c r="H36" s="178">
        <f t="shared" si="7"/>
        <v>0</v>
      </c>
      <c r="I36" s="178">
        <f t="shared" si="7"/>
        <v>0</v>
      </c>
    </row>
    <row r="37" spans="1:10" x14ac:dyDescent="0.25">
      <c r="A37" s="324">
        <f>A34+1</f>
        <v>9</v>
      </c>
      <c r="B37" s="333" t="str">
        <f>ORÇAMENTO!D197</f>
        <v>ALVENARIAS E DIVISORIAS</v>
      </c>
      <c r="C37" s="175" t="e">
        <f>C39/VALOR_TOTAL</f>
        <v>#DIV/0!</v>
      </c>
      <c r="D37" s="261"/>
      <c r="E37" s="261"/>
      <c r="F37" s="261">
        <v>0.6</v>
      </c>
      <c r="G37" s="261">
        <v>0.4</v>
      </c>
      <c r="H37" s="261"/>
      <c r="I37" s="261"/>
      <c r="J37" s="279">
        <f>SUM(D37:I37)</f>
        <v>1</v>
      </c>
    </row>
    <row r="38" spans="1:10" ht="8.1" customHeight="1" x14ac:dyDescent="0.25">
      <c r="A38" s="325"/>
      <c r="B38" s="334"/>
      <c r="C38" s="183"/>
      <c r="D38" s="253"/>
      <c r="E38" s="253"/>
      <c r="F38" s="253"/>
      <c r="G38" s="253"/>
      <c r="H38" s="253"/>
      <c r="I38" s="253"/>
    </row>
    <row r="39" spans="1:10" x14ac:dyDescent="0.25">
      <c r="A39" s="326"/>
      <c r="B39" s="333"/>
      <c r="C39" s="177">
        <f>ORÇAMENTO!I199*BDI</f>
        <v>0</v>
      </c>
      <c r="D39" s="178">
        <f>D37*$C$39</f>
        <v>0</v>
      </c>
      <c r="E39" s="178">
        <f t="shared" ref="E39:I39" si="8">E37*$C$39</f>
        <v>0</v>
      </c>
      <c r="F39" s="178">
        <f t="shared" si="8"/>
        <v>0</v>
      </c>
      <c r="G39" s="178">
        <f t="shared" si="8"/>
        <v>0</v>
      </c>
      <c r="H39" s="178">
        <f t="shared" si="8"/>
        <v>0</v>
      </c>
      <c r="I39" s="178">
        <f t="shared" si="8"/>
        <v>0</v>
      </c>
    </row>
    <row r="40" spans="1:10" x14ac:dyDescent="0.25">
      <c r="A40" s="324">
        <f>A37+1</f>
        <v>10</v>
      </c>
      <c r="B40" s="333" t="str">
        <f>ORÇAMENTO!D201</f>
        <v>IMPERMEABILIZACAO</v>
      </c>
      <c r="C40" s="175" t="e">
        <f>C42/VALOR_TOTAL</f>
        <v>#DIV/0!</v>
      </c>
      <c r="D40" s="261"/>
      <c r="E40" s="261">
        <v>0.95</v>
      </c>
      <c r="F40" s="261"/>
      <c r="G40" s="261">
        <v>0.05</v>
      </c>
      <c r="H40" s="261"/>
      <c r="I40" s="261"/>
      <c r="J40" s="279">
        <f>SUM(D40:I40)</f>
        <v>1</v>
      </c>
    </row>
    <row r="41" spans="1:10" ht="8.1" customHeight="1" x14ac:dyDescent="0.25">
      <c r="A41" s="325"/>
      <c r="B41" s="334"/>
      <c r="C41" s="183"/>
      <c r="D41" s="253"/>
      <c r="E41" s="253"/>
      <c r="F41" s="253"/>
      <c r="G41" s="253"/>
      <c r="H41" s="253"/>
      <c r="I41" s="253"/>
    </row>
    <row r="42" spans="1:10" x14ac:dyDescent="0.25">
      <c r="A42" s="326"/>
      <c r="B42" s="333"/>
      <c r="C42" s="177">
        <f>ORÇAMENTO!I204*BDI</f>
        <v>0</v>
      </c>
      <c r="D42" s="178">
        <f>D40*$C$42</f>
        <v>0</v>
      </c>
      <c r="E42" s="178">
        <f t="shared" ref="E42:I42" si="9">E40*$C$42</f>
        <v>0</v>
      </c>
      <c r="F42" s="178">
        <f t="shared" si="9"/>
        <v>0</v>
      </c>
      <c r="G42" s="178">
        <f t="shared" si="9"/>
        <v>0</v>
      </c>
      <c r="H42" s="178">
        <f t="shared" si="9"/>
        <v>0</v>
      </c>
      <c r="I42" s="178">
        <f t="shared" si="9"/>
        <v>0</v>
      </c>
    </row>
    <row r="43" spans="1:10" x14ac:dyDescent="0.25">
      <c r="A43" s="324">
        <f>A40+1</f>
        <v>11</v>
      </c>
      <c r="B43" s="333" t="str">
        <f>ORÇAMENTO!D206</f>
        <v>ESTRUTURA DE MADEIRA</v>
      </c>
      <c r="C43" s="175" t="e">
        <f>C45/VALOR_TOTAL</f>
        <v>#DIV/0!</v>
      </c>
      <c r="D43" s="261"/>
      <c r="E43" s="261"/>
      <c r="F43" s="261"/>
      <c r="G43" s="261"/>
      <c r="H43" s="261">
        <v>1</v>
      </c>
      <c r="I43" s="261"/>
      <c r="J43" s="279">
        <f>SUM(D43:I43)</f>
        <v>1</v>
      </c>
    </row>
    <row r="44" spans="1:10" ht="8.1" customHeight="1" x14ac:dyDescent="0.25">
      <c r="A44" s="325"/>
      <c r="B44" s="334"/>
      <c r="C44" s="183"/>
      <c r="D44" s="253"/>
      <c r="E44" s="253"/>
      <c r="F44" s="253"/>
      <c r="G44" s="253"/>
      <c r="H44" s="253"/>
      <c r="I44" s="253"/>
    </row>
    <row r="45" spans="1:10" x14ac:dyDescent="0.25">
      <c r="A45" s="326"/>
      <c r="B45" s="333"/>
      <c r="C45" s="177">
        <f>ORÇAMENTO!I208*BDI</f>
        <v>0</v>
      </c>
      <c r="D45" s="178">
        <f>D43*$C$45</f>
        <v>0</v>
      </c>
      <c r="E45" s="178">
        <f t="shared" ref="E45:I45" si="10">E43*$C$45</f>
        <v>0</v>
      </c>
      <c r="F45" s="178">
        <f t="shared" si="10"/>
        <v>0</v>
      </c>
      <c r="G45" s="178">
        <f t="shared" si="10"/>
        <v>0</v>
      </c>
      <c r="H45" s="178">
        <f t="shared" si="10"/>
        <v>0</v>
      </c>
      <c r="I45" s="178">
        <f t="shared" si="10"/>
        <v>0</v>
      </c>
    </row>
    <row r="46" spans="1:10" x14ac:dyDescent="0.25">
      <c r="A46" s="324">
        <f>A43+1</f>
        <v>12</v>
      </c>
      <c r="B46" s="327" t="str">
        <f>ORÇAMENTO!D210</f>
        <v>ESTRUTURAS METALICAS</v>
      </c>
      <c r="C46" s="175" t="e">
        <f>C48/VALOR_TOTAL</f>
        <v>#DIV/0!</v>
      </c>
      <c r="D46" s="181"/>
      <c r="E46" s="182"/>
      <c r="F46" s="182">
        <v>0.5</v>
      </c>
      <c r="G46" s="182">
        <v>0.5</v>
      </c>
      <c r="H46" s="182"/>
      <c r="I46" s="182"/>
      <c r="J46" s="279">
        <f>SUM(D46:I46)</f>
        <v>1</v>
      </c>
    </row>
    <row r="47" spans="1:10" ht="8.1" customHeight="1" x14ac:dyDescent="0.25">
      <c r="A47" s="325"/>
      <c r="B47" s="328"/>
      <c r="C47" s="183"/>
      <c r="D47" s="253"/>
      <c r="E47" s="253"/>
      <c r="F47" s="253"/>
      <c r="G47" s="253"/>
      <c r="H47" s="253"/>
      <c r="I47" s="253"/>
    </row>
    <row r="48" spans="1:10" x14ac:dyDescent="0.25">
      <c r="A48" s="326"/>
      <c r="B48" s="329"/>
      <c r="C48" s="177">
        <f>ORÇAMENTO!I213*BDI</f>
        <v>0</v>
      </c>
      <c r="D48" s="178">
        <f>D46*$C$48</f>
        <v>0</v>
      </c>
      <c r="E48" s="178">
        <f t="shared" ref="E48:I48" si="11">E46*$C$48</f>
        <v>0</v>
      </c>
      <c r="F48" s="178">
        <f t="shared" si="11"/>
        <v>0</v>
      </c>
      <c r="G48" s="178">
        <f t="shared" si="11"/>
        <v>0</v>
      </c>
      <c r="H48" s="178">
        <f t="shared" si="11"/>
        <v>0</v>
      </c>
      <c r="I48" s="178">
        <f t="shared" si="11"/>
        <v>0</v>
      </c>
    </row>
    <row r="49" spans="1:10" x14ac:dyDescent="0.25">
      <c r="A49" s="324">
        <f>A46+1</f>
        <v>13</v>
      </c>
      <c r="B49" s="333" t="str">
        <f>ORÇAMENTO!D215</f>
        <v>COBERTURAS</v>
      </c>
      <c r="C49" s="175" t="e">
        <f>C51/VALOR_TOTAL</f>
        <v>#DIV/0!</v>
      </c>
      <c r="D49" s="261"/>
      <c r="E49" s="261"/>
      <c r="F49" s="261"/>
      <c r="G49" s="261">
        <v>0.8</v>
      </c>
      <c r="H49" s="261">
        <v>0.2</v>
      </c>
      <c r="I49" s="261"/>
      <c r="J49" s="279">
        <f>SUM(D49:I49)</f>
        <v>1</v>
      </c>
    </row>
    <row r="50" spans="1:10" ht="8.1" customHeight="1" x14ac:dyDescent="0.25">
      <c r="A50" s="325"/>
      <c r="B50" s="334"/>
      <c r="C50" s="183"/>
      <c r="D50" s="253"/>
      <c r="E50" s="253"/>
      <c r="F50" s="253"/>
      <c r="G50" s="253"/>
      <c r="H50" s="253"/>
      <c r="I50" s="253"/>
    </row>
    <row r="51" spans="1:10" x14ac:dyDescent="0.25">
      <c r="A51" s="326"/>
      <c r="B51" s="333"/>
      <c r="C51" s="177">
        <f>ORÇAMENTO!I220*BDI</f>
        <v>0</v>
      </c>
      <c r="D51" s="178">
        <f>D49*$C$51</f>
        <v>0</v>
      </c>
      <c r="E51" s="178">
        <f t="shared" ref="E51:I51" si="12">E49*$C$51</f>
        <v>0</v>
      </c>
      <c r="F51" s="178">
        <f t="shared" si="12"/>
        <v>0</v>
      </c>
      <c r="G51" s="178">
        <f t="shared" si="12"/>
        <v>0</v>
      </c>
      <c r="H51" s="178">
        <f t="shared" si="12"/>
        <v>0</v>
      </c>
      <c r="I51" s="178">
        <f t="shared" si="12"/>
        <v>0</v>
      </c>
    </row>
    <row r="52" spans="1:10" x14ac:dyDescent="0.25">
      <c r="A52" s="324">
        <f>A49+1</f>
        <v>14</v>
      </c>
      <c r="B52" s="333" t="str">
        <f>ORÇAMENTO!D222</f>
        <v xml:space="preserve">ESQUADRIAS DE MADEIRA </v>
      </c>
      <c r="C52" s="175" t="e">
        <f>C54/VALOR_TOTAL</f>
        <v>#DIV/0!</v>
      </c>
      <c r="D52" s="261"/>
      <c r="E52" s="261"/>
      <c r="F52" s="261"/>
      <c r="G52" s="261"/>
      <c r="H52" s="261">
        <v>1</v>
      </c>
      <c r="I52" s="261"/>
      <c r="J52" s="279">
        <f>SUM(D52:I52)</f>
        <v>1</v>
      </c>
    </row>
    <row r="53" spans="1:10" ht="8.1" customHeight="1" x14ac:dyDescent="0.25">
      <c r="A53" s="325"/>
      <c r="B53" s="334"/>
      <c r="C53" s="183"/>
      <c r="D53" s="253"/>
      <c r="E53" s="253"/>
      <c r="F53" s="253"/>
      <c r="G53" s="253"/>
      <c r="H53" s="253"/>
      <c r="I53" s="253"/>
    </row>
    <row r="54" spans="1:10" x14ac:dyDescent="0.25">
      <c r="A54" s="326"/>
      <c r="B54" s="333"/>
      <c r="C54" s="177">
        <f>ORÇAMENTO!I224*BDI</f>
        <v>0</v>
      </c>
      <c r="D54" s="178">
        <f>D52*$C$54</f>
        <v>0</v>
      </c>
      <c r="E54" s="178">
        <f t="shared" ref="E54:I54" si="13">E52*$C$54</f>
        <v>0</v>
      </c>
      <c r="F54" s="178">
        <f t="shared" si="13"/>
        <v>0</v>
      </c>
      <c r="G54" s="178">
        <f t="shared" si="13"/>
        <v>0</v>
      </c>
      <c r="H54" s="178">
        <f t="shared" si="13"/>
        <v>0</v>
      </c>
      <c r="I54" s="178">
        <f t="shared" si="13"/>
        <v>0</v>
      </c>
    </row>
    <row r="55" spans="1:10" x14ac:dyDescent="0.25">
      <c r="A55" s="324">
        <f>A52+1</f>
        <v>15</v>
      </c>
      <c r="B55" s="327" t="str">
        <f>ORÇAMENTO!D226</f>
        <v>ESQUADRIAS METÁLICAS</v>
      </c>
      <c r="C55" s="175" t="e">
        <f>C57/VALOR_TOTAL</f>
        <v>#DIV/0!</v>
      </c>
      <c r="D55" s="261"/>
      <c r="E55" s="261"/>
      <c r="F55" s="261"/>
      <c r="G55" s="261"/>
      <c r="H55" s="261">
        <v>1</v>
      </c>
      <c r="I55" s="261"/>
      <c r="J55" s="279">
        <f>SUM(D55:I55)</f>
        <v>1</v>
      </c>
    </row>
    <row r="56" spans="1:10" ht="8.1" customHeight="1" x14ac:dyDescent="0.25">
      <c r="A56" s="325"/>
      <c r="B56" s="328"/>
      <c r="C56" s="183"/>
      <c r="D56" s="253"/>
      <c r="E56" s="253"/>
      <c r="F56" s="253"/>
      <c r="G56" s="253"/>
      <c r="H56" s="253"/>
      <c r="I56" s="253"/>
    </row>
    <row r="57" spans="1:10" x14ac:dyDescent="0.25">
      <c r="A57" s="326"/>
      <c r="B57" s="329"/>
      <c r="C57" s="177">
        <f>ORÇAMENTO!I230*BDI</f>
        <v>0</v>
      </c>
      <c r="D57" s="178">
        <f>D55*$C$57</f>
        <v>0</v>
      </c>
      <c r="E57" s="178">
        <f t="shared" ref="E57:I57" si="14">E55*$C$57</f>
        <v>0</v>
      </c>
      <c r="F57" s="178">
        <f t="shared" si="14"/>
        <v>0</v>
      </c>
      <c r="G57" s="178">
        <f t="shared" si="14"/>
        <v>0</v>
      </c>
      <c r="H57" s="178">
        <f t="shared" si="14"/>
        <v>0</v>
      </c>
      <c r="I57" s="178">
        <f t="shared" si="14"/>
        <v>0</v>
      </c>
    </row>
    <row r="58" spans="1:10" x14ac:dyDescent="0.25">
      <c r="A58" s="324">
        <f>A55+1</f>
        <v>16</v>
      </c>
      <c r="B58" s="333" t="str">
        <f>ORÇAMENTO!D232</f>
        <v>VIDROS</v>
      </c>
      <c r="C58" s="175" t="e">
        <f>C60/VALOR_TOTAL</f>
        <v>#DIV/0!</v>
      </c>
      <c r="D58" s="261"/>
      <c r="E58" s="261"/>
      <c r="F58" s="261"/>
      <c r="G58" s="261"/>
      <c r="H58" s="261"/>
      <c r="I58" s="261">
        <v>1</v>
      </c>
      <c r="J58" s="279">
        <f>SUM(D58:I58)</f>
        <v>1</v>
      </c>
    </row>
    <row r="59" spans="1:10" ht="8.1" customHeight="1" x14ac:dyDescent="0.25">
      <c r="A59" s="325"/>
      <c r="B59" s="334"/>
      <c r="C59" s="183"/>
      <c r="D59" s="253"/>
      <c r="E59" s="253"/>
      <c r="F59" s="253"/>
      <c r="G59" s="253"/>
      <c r="H59" s="253"/>
      <c r="I59" s="253"/>
    </row>
    <row r="60" spans="1:10" x14ac:dyDescent="0.25">
      <c r="A60" s="326"/>
      <c r="B60" s="333"/>
      <c r="C60" s="177">
        <f>ORÇAMENTO!I234*BDI</f>
        <v>0</v>
      </c>
      <c r="D60" s="178">
        <f>D58*$C$60</f>
        <v>0</v>
      </c>
      <c r="E60" s="178">
        <f t="shared" ref="E60:I60" si="15">E58*$C$60</f>
        <v>0</v>
      </c>
      <c r="F60" s="178">
        <f t="shared" si="15"/>
        <v>0</v>
      </c>
      <c r="G60" s="178">
        <f t="shared" si="15"/>
        <v>0</v>
      </c>
      <c r="H60" s="178">
        <f t="shared" si="15"/>
        <v>0</v>
      </c>
      <c r="I60" s="178">
        <f t="shared" si="15"/>
        <v>0</v>
      </c>
    </row>
    <row r="61" spans="1:10" x14ac:dyDescent="0.25">
      <c r="A61" s="324">
        <f>A58+1</f>
        <v>17</v>
      </c>
      <c r="B61" s="333" t="str">
        <f>ORÇAMENTO!D236</f>
        <v>REVESTIMENTO DE PAREDES</v>
      </c>
      <c r="C61" s="175" t="e">
        <f>C63/VALOR_TOTAL</f>
        <v>#DIV/0!</v>
      </c>
      <c r="D61" s="261"/>
      <c r="E61" s="261"/>
      <c r="F61" s="261"/>
      <c r="G61" s="261">
        <v>0.35</v>
      </c>
      <c r="H61" s="261">
        <v>0.65</v>
      </c>
      <c r="I61" s="261"/>
      <c r="J61" s="279">
        <f>SUM(D61:I61)</f>
        <v>1</v>
      </c>
    </row>
    <row r="62" spans="1:10" ht="8.1" customHeight="1" x14ac:dyDescent="0.25">
      <c r="A62" s="325"/>
      <c r="B62" s="334"/>
      <c r="C62" s="183"/>
      <c r="D62" s="253"/>
      <c r="E62" s="253"/>
      <c r="F62" s="253"/>
      <c r="G62" s="253"/>
      <c r="H62" s="253"/>
      <c r="I62" s="253"/>
    </row>
    <row r="63" spans="1:10" x14ac:dyDescent="0.25">
      <c r="A63" s="326"/>
      <c r="B63" s="333"/>
      <c r="C63" s="177">
        <f>ORÇAMENTO!I241*BDI</f>
        <v>0</v>
      </c>
      <c r="D63" s="178">
        <f>D61*$C$63</f>
        <v>0</v>
      </c>
      <c r="E63" s="178">
        <f t="shared" ref="E63:I63" si="16">E61*$C$63</f>
        <v>0</v>
      </c>
      <c r="F63" s="178">
        <f t="shared" si="16"/>
        <v>0</v>
      </c>
      <c r="G63" s="178">
        <f t="shared" si="16"/>
        <v>0</v>
      </c>
      <c r="H63" s="178">
        <f t="shared" si="16"/>
        <v>0</v>
      </c>
      <c r="I63" s="178">
        <f t="shared" si="16"/>
        <v>0</v>
      </c>
    </row>
    <row r="64" spans="1:10" x14ac:dyDescent="0.25">
      <c r="A64" s="324">
        <f>A61+1</f>
        <v>18</v>
      </c>
      <c r="B64" s="327" t="str">
        <f>ORÇAMENTO!D243</f>
        <v>FORROS</v>
      </c>
      <c r="C64" s="175" t="e">
        <f>C66/VALOR_TOTAL</f>
        <v>#DIV/0!</v>
      </c>
      <c r="D64" s="261"/>
      <c r="E64" s="261"/>
      <c r="F64" s="261"/>
      <c r="G64" s="261"/>
      <c r="H64" s="261"/>
      <c r="I64" s="261">
        <v>1</v>
      </c>
      <c r="J64" s="279">
        <f>SUM(D64:I64)</f>
        <v>1</v>
      </c>
    </row>
    <row r="65" spans="1:10" ht="8.1" customHeight="1" x14ac:dyDescent="0.25">
      <c r="A65" s="325"/>
      <c r="B65" s="328"/>
      <c r="C65" s="183"/>
      <c r="D65" s="253"/>
      <c r="E65" s="253"/>
      <c r="F65" s="253"/>
      <c r="G65" s="253"/>
      <c r="H65" s="253"/>
      <c r="I65" s="253"/>
    </row>
    <row r="66" spans="1:10" x14ac:dyDescent="0.25">
      <c r="A66" s="326"/>
      <c r="B66" s="329"/>
      <c r="C66" s="177">
        <f>ORÇAMENTO!I246*BDI</f>
        <v>0</v>
      </c>
      <c r="D66" s="178">
        <f>D64*$C$66</f>
        <v>0</v>
      </c>
      <c r="E66" s="178">
        <f t="shared" ref="E66:I66" si="17">E64*$C$66</f>
        <v>0</v>
      </c>
      <c r="F66" s="178">
        <f t="shared" si="17"/>
        <v>0</v>
      </c>
      <c r="G66" s="178">
        <f t="shared" si="17"/>
        <v>0</v>
      </c>
      <c r="H66" s="178">
        <f t="shared" si="17"/>
        <v>0</v>
      </c>
      <c r="I66" s="178">
        <f t="shared" si="17"/>
        <v>0</v>
      </c>
    </row>
    <row r="67" spans="1:10" x14ac:dyDescent="0.25">
      <c r="A67" s="324">
        <f>A64+1</f>
        <v>19</v>
      </c>
      <c r="B67" s="333" t="str">
        <f>ORÇAMENTO!D248</f>
        <v>REVESTIMENTO DE PISO</v>
      </c>
      <c r="C67" s="175" t="e">
        <f>C69/VALOR_TOTAL</f>
        <v>#DIV/0!</v>
      </c>
      <c r="D67" s="261"/>
      <c r="E67" s="261"/>
      <c r="F67" s="261"/>
      <c r="G67" s="261">
        <v>0.25</v>
      </c>
      <c r="H67" s="261">
        <v>0.75</v>
      </c>
      <c r="I67" s="261"/>
      <c r="J67" s="279">
        <f>SUM(D67:I67)</f>
        <v>1</v>
      </c>
    </row>
    <row r="68" spans="1:10" ht="8.1" customHeight="1" x14ac:dyDescent="0.25">
      <c r="A68" s="325"/>
      <c r="B68" s="334"/>
      <c r="C68" s="183"/>
      <c r="D68" s="253"/>
      <c r="E68" s="253"/>
      <c r="F68" s="253"/>
      <c r="G68" s="253"/>
      <c r="H68" s="253"/>
      <c r="I68" s="253"/>
    </row>
    <row r="69" spans="1:10" x14ac:dyDescent="0.25">
      <c r="A69" s="326"/>
      <c r="B69" s="333"/>
      <c r="C69" s="177">
        <f>ORÇAMENTO!I256*BDI</f>
        <v>0</v>
      </c>
      <c r="D69" s="178">
        <f>D67*$C$69</f>
        <v>0</v>
      </c>
      <c r="E69" s="178">
        <f t="shared" ref="E69:I69" si="18">E67*$C$69</f>
        <v>0</v>
      </c>
      <c r="F69" s="178">
        <f t="shared" si="18"/>
        <v>0</v>
      </c>
      <c r="G69" s="178">
        <f t="shared" si="18"/>
        <v>0</v>
      </c>
      <c r="H69" s="178">
        <f t="shared" si="18"/>
        <v>0</v>
      </c>
      <c r="I69" s="178">
        <f t="shared" si="18"/>
        <v>0</v>
      </c>
    </row>
    <row r="70" spans="1:10" x14ac:dyDescent="0.25">
      <c r="A70" s="324">
        <f>A67+1</f>
        <v>20</v>
      </c>
      <c r="B70" s="333" t="str">
        <f>ORÇAMENTO!D258</f>
        <v>FERRAGENS</v>
      </c>
      <c r="C70" s="175" t="e">
        <f>C72/VALOR_TOTAL</f>
        <v>#DIV/0!</v>
      </c>
      <c r="D70" s="261"/>
      <c r="E70" s="261"/>
      <c r="F70" s="261"/>
      <c r="G70" s="261"/>
      <c r="H70" s="261"/>
      <c r="I70" s="261">
        <v>1</v>
      </c>
      <c r="J70" s="279">
        <f>SUM(D70:I70)</f>
        <v>1</v>
      </c>
    </row>
    <row r="71" spans="1:10" ht="8.1" customHeight="1" x14ac:dyDescent="0.25">
      <c r="A71" s="325"/>
      <c r="B71" s="334"/>
      <c r="C71" s="183"/>
      <c r="D71" s="253"/>
      <c r="E71" s="253"/>
      <c r="F71" s="253"/>
      <c r="G71" s="253"/>
      <c r="H71" s="253"/>
      <c r="I71" s="253"/>
    </row>
    <row r="72" spans="1:10" x14ac:dyDescent="0.25">
      <c r="A72" s="326"/>
      <c r="B72" s="333"/>
      <c r="C72" s="177">
        <f>ORÇAMENTO!I264*BDI</f>
        <v>0</v>
      </c>
      <c r="D72" s="178">
        <f>D70*$C$72</f>
        <v>0</v>
      </c>
      <c r="E72" s="178">
        <f t="shared" ref="E72:I72" si="19">E70*$C$72</f>
        <v>0</v>
      </c>
      <c r="F72" s="178">
        <f t="shared" si="19"/>
        <v>0</v>
      </c>
      <c r="G72" s="178">
        <f t="shared" si="19"/>
        <v>0</v>
      </c>
      <c r="H72" s="178">
        <f t="shared" si="19"/>
        <v>0</v>
      </c>
      <c r="I72" s="178">
        <f t="shared" si="19"/>
        <v>0</v>
      </c>
    </row>
    <row r="73" spans="1:10" x14ac:dyDescent="0.25">
      <c r="A73" s="324">
        <f>A70+1</f>
        <v>21</v>
      </c>
      <c r="B73" s="333" t="str">
        <f>ORÇAMENTO!D266</f>
        <v>ADMINISTRAÇÃO - MENSALISTAS</v>
      </c>
      <c r="C73" s="175" t="e">
        <f>C75/VALOR_TOTAL</f>
        <v>#DIV/0!</v>
      </c>
      <c r="D73" s="262">
        <v>0.16669999999999999</v>
      </c>
      <c r="E73" s="262">
        <v>0.16669999999999999</v>
      </c>
      <c r="F73" s="262">
        <v>0.16669999999999999</v>
      </c>
      <c r="G73" s="262">
        <v>0.16669999999999999</v>
      </c>
      <c r="H73" s="262">
        <v>0.16669999999999999</v>
      </c>
      <c r="I73" s="262">
        <v>0.16669999999999999</v>
      </c>
      <c r="J73" s="279">
        <f>SUM(D73:I73)</f>
        <v>1.0002</v>
      </c>
    </row>
    <row r="74" spans="1:10" ht="8.1" customHeight="1" x14ac:dyDescent="0.25">
      <c r="A74" s="325"/>
      <c r="B74" s="334"/>
      <c r="C74" s="183"/>
      <c r="D74" s="253"/>
      <c r="E74" s="253"/>
      <c r="F74" s="253"/>
      <c r="G74" s="253"/>
      <c r="H74" s="253"/>
      <c r="I74" s="253"/>
    </row>
    <row r="75" spans="1:10" x14ac:dyDescent="0.25">
      <c r="A75" s="326"/>
      <c r="B75" s="333"/>
      <c r="C75" s="177">
        <f>ORÇAMENTO!I268*BDI</f>
        <v>0</v>
      </c>
      <c r="D75" s="178">
        <f>D73*$C$75</f>
        <v>0</v>
      </c>
      <c r="E75" s="178">
        <f t="shared" ref="E75:I75" si="20">E73*$C$75</f>
        <v>0</v>
      </c>
      <c r="F75" s="178">
        <f t="shared" si="20"/>
        <v>0</v>
      </c>
      <c r="G75" s="178">
        <f t="shared" si="20"/>
        <v>0</v>
      </c>
      <c r="H75" s="178">
        <f t="shared" si="20"/>
        <v>0</v>
      </c>
      <c r="I75" s="178">
        <f t="shared" si="20"/>
        <v>0</v>
      </c>
    </row>
    <row r="76" spans="1:10" x14ac:dyDescent="0.25">
      <c r="A76" s="324">
        <f>A73+1</f>
        <v>22</v>
      </c>
      <c r="B76" s="333" t="str">
        <f>ORÇAMENTO!D270</f>
        <v>PINTURA</v>
      </c>
      <c r="C76" s="175" t="e">
        <f>C78/VALOR_TOTAL</f>
        <v>#DIV/0!</v>
      </c>
      <c r="D76" s="261"/>
      <c r="E76" s="261"/>
      <c r="F76" s="261"/>
      <c r="G76" s="261"/>
      <c r="H76" s="261">
        <v>0.4</v>
      </c>
      <c r="I76" s="261">
        <v>0.6</v>
      </c>
      <c r="J76" s="279">
        <f>SUM(D76:I76)</f>
        <v>1</v>
      </c>
    </row>
    <row r="77" spans="1:10" ht="8.1" customHeight="1" x14ac:dyDescent="0.25">
      <c r="A77" s="325"/>
      <c r="B77" s="334"/>
      <c r="C77" s="183"/>
      <c r="D77" s="253"/>
      <c r="E77" s="253"/>
      <c r="F77" s="253"/>
      <c r="G77" s="253"/>
      <c r="H77" s="253"/>
      <c r="I77" s="253"/>
    </row>
    <row r="78" spans="1:10" x14ac:dyDescent="0.25">
      <c r="A78" s="326"/>
      <c r="B78" s="333"/>
      <c r="C78" s="177">
        <f>ORÇAMENTO!I277*BDI</f>
        <v>0</v>
      </c>
      <c r="D78" s="178">
        <f>D76*$C$78</f>
        <v>0</v>
      </c>
      <c r="E78" s="178">
        <f t="shared" ref="E78:I78" si="21">E76*$C$78</f>
        <v>0</v>
      </c>
      <c r="F78" s="178">
        <f t="shared" si="21"/>
        <v>0</v>
      </c>
      <c r="G78" s="178">
        <f t="shared" si="21"/>
        <v>0</v>
      </c>
      <c r="H78" s="178">
        <f t="shared" si="21"/>
        <v>0</v>
      </c>
      <c r="I78" s="178">
        <f t="shared" si="21"/>
        <v>0</v>
      </c>
    </row>
    <row r="79" spans="1:10" x14ac:dyDescent="0.25">
      <c r="A79" s="324">
        <f>A76+1</f>
        <v>23</v>
      </c>
      <c r="B79" s="333" t="str">
        <f>ORÇAMENTO!D279</f>
        <v>DIVERSOS</v>
      </c>
      <c r="C79" s="175" t="e">
        <f>C81/VALOR_TOTAL</f>
        <v>#DIV/0!</v>
      </c>
      <c r="D79" s="261"/>
      <c r="E79" s="261"/>
      <c r="F79" s="261"/>
      <c r="G79" s="261">
        <v>0.3</v>
      </c>
      <c r="H79" s="261">
        <v>0.2</v>
      </c>
      <c r="I79" s="261">
        <v>0.5</v>
      </c>
      <c r="J79" s="279">
        <f>SUM(D79:I79)</f>
        <v>1</v>
      </c>
    </row>
    <row r="80" spans="1:10" ht="8.1" customHeight="1" x14ac:dyDescent="0.25">
      <c r="A80" s="325"/>
      <c r="B80" s="334"/>
      <c r="C80" s="183"/>
      <c r="D80" s="253"/>
      <c r="E80" s="253"/>
      <c r="F80" s="253"/>
      <c r="G80" s="253"/>
      <c r="H80" s="253"/>
      <c r="I80" s="253"/>
    </row>
    <row r="81" spans="1:10" x14ac:dyDescent="0.25">
      <c r="A81" s="326"/>
      <c r="B81" s="333"/>
      <c r="C81" s="177">
        <f>ORÇAMENTO!I287*BDI</f>
        <v>0</v>
      </c>
      <c r="D81" s="178">
        <f>D79*$C$81</f>
        <v>0</v>
      </c>
      <c r="E81" s="178">
        <f t="shared" ref="E81:I81" si="22">E79*$C$81</f>
        <v>0</v>
      </c>
      <c r="F81" s="178">
        <f t="shared" si="22"/>
        <v>0</v>
      </c>
      <c r="G81" s="178">
        <f t="shared" si="22"/>
        <v>0</v>
      </c>
      <c r="H81" s="178">
        <f t="shared" si="22"/>
        <v>0</v>
      </c>
      <c r="I81" s="178">
        <f t="shared" si="22"/>
        <v>0</v>
      </c>
    </row>
    <row r="82" spans="1:10" x14ac:dyDescent="0.25">
      <c r="A82" s="187"/>
      <c r="B82" s="335"/>
      <c r="C82" s="335"/>
      <c r="D82" s="335"/>
      <c r="E82" s="335"/>
      <c r="F82" s="335"/>
      <c r="G82" s="335"/>
      <c r="H82" s="335"/>
      <c r="I82" s="335"/>
      <c r="J82" s="279"/>
    </row>
    <row r="83" spans="1:10" ht="15" customHeight="1" x14ac:dyDescent="0.25">
      <c r="A83" s="330" t="s">
        <v>452</v>
      </c>
      <c r="B83" s="331"/>
      <c r="C83" s="332"/>
      <c r="D83" s="188" t="e">
        <f t="shared" ref="D83:H83" si="23">D85/VALOR_TOTAL</f>
        <v>#DIV/0!</v>
      </c>
      <c r="E83" s="188" t="e">
        <f t="shared" si="23"/>
        <v>#DIV/0!</v>
      </c>
      <c r="F83" s="188" t="e">
        <f t="shared" si="23"/>
        <v>#DIV/0!</v>
      </c>
      <c r="G83" s="188" t="e">
        <f t="shared" si="23"/>
        <v>#DIV/0!</v>
      </c>
      <c r="H83" s="188" t="e">
        <f t="shared" si="23"/>
        <v>#DIV/0!</v>
      </c>
      <c r="I83" s="188">
        <v>0.1221</v>
      </c>
    </row>
    <row r="84" spans="1:10" x14ac:dyDescent="0.25">
      <c r="A84" s="330" t="s">
        <v>453</v>
      </c>
      <c r="B84" s="331"/>
      <c r="C84" s="332"/>
      <c r="D84" s="189" t="e">
        <f>D83</f>
        <v>#DIV/0!</v>
      </c>
      <c r="E84" s="189" t="e">
        <f>D84+E83</f>
        <v>#DIV/0!</v>
      </c>
      <c r="F84" s="189" t="e">
        <f>E84+F83</f>
        <v>#DIV/0!</v>
      </c>
      <c r="G84" s="189" t="e">
        <f>F84+G83</f>
        <v>#DIV/0!</v>
      </c>
      <c r="H84" s="189" t="e">
        <f t="shared" ref="H84:I84" si="24">G84+H83</f>
        <v>#DIV/0!</v>
      </c>
      <c r="I84" s="189" t="e">
        <f t="shared" si="24"/>
        <v>#DIV/0!</v>
      </c>
    </row>
    <row r="85" spans="1:10" x14ac:dyDescent="0.25">
      <c r="A85" s="330" t="s">
        <v>454</v>
      </c>
      <c r="B85" s="331"/>
      <c r="C85" s="332"/>
      <c r="D85" s="190">
        <f>D24+D15+D18+D21+D27+D30+D33+D36+D39+D42+D45+D48+D51+D54+D57+D60+D63+D66+D69+D72+D75+D78+D81</f>
        <v>0</v>
      </c>
      <c r="E85" s="190">
        <f t="shared" ref="E85:I85" si="25">E24+E15+E18+E21+E27+E30+E33+E36+E39+E42+E45+E48+E51+E54+E57+E60+E63+E66+E69+E72+E75+E78+E81</f>
        <v>0</v>
      </c>
      <c r="F85" s="190">
        <f t="shared" si="25"/>
        <v>0</v>
      </c>
      <c r="G85" s="190">
        <f t="shared" si="25"/>
        <v>0</v>
      </c>
      <c r="H85" s="190">
        <f t="shared" si="25"/>
        <v>0</v>
      </c>
      <c r="I85" s="190">
        <f t="shared" si="25"/>
        <v>0</v>
      </c>
    </row>
    <row r="86" spans="1:10" x14ac:dyDescent="0.25">
      <c r="A86" s="330" t="s">
        <v>455</v>
      </c>
      <c r="B86" s="331"/>
      <c r="C86" s="332"/>
      <c r="D86" s="190">
        <f>D85</f>
        <v>0</v>
      </c>
      <c r="E86" s="190">
        <f>D86+E85</f>
        <v>0</v>
      </c>
      <c r="F86" s="190">
        <f>E86+F85</f>
        <v>0</v>
      </c>
      <c r="G86" s="190">
        <f t="shared" ref="G86:H86" si="26">F86+G85</f>
        <v>0</v>
      </c>
      <c r="H86" s="190">
        <f t="shared" si="26"/>
        <v>0</v>
      </c>
      <c r="I86" s="190">
        <f>VALOR_TOTAL</f>
        <v>0</v>
      </c>
    </row>
    <row r="89" spans="1:10" x14ac:dyDescent="0.25">
      <c r="B89" s="285"/>
      <c r="C89" s="285"/>
      <c r="D89" s="23"/>
      <c r="E89" s="1"/>
      <c r="F89" s="24"/>
      <c r="G89" s="25"/>
    </row>
    <row r="90" spans="1:10" x14ac:dyDescent="0.25">
      <c r="B90" s="285"/>
      <c r="C90" s="1" t="s">
        <v>372</v>
      </c>
      <c r="D90" s="23"/>
      <c r="E90" s="1"/>
      <c r="F90" s="1" t="s">
        <v>372</v>
      </c>
      <c r="G90" s="25"/>
    </row>
    <row r="91" spans="1:10" x14ac:dyDescent="0.25">
      <c r="B91" s="285"/>
      <c r="C91" s="26" t="s">
        <v>373</v>
      </c>
      <c r="D91" s="23"/>
      <c r="E91" s="1"/>
      <c r="F91" s="286" t="str">
        <f>ORÇAMENTO!F301</f>
        <v>PHILIPJOHN RIBEIRO SILVA</v>
      </c>
      <c r="G91" s="25"/>
    </row>
    <row r="92" spans="1:10" x14ac:dyDescent="0.25">
      <c r="B92" s="28"/>
      <c r="C92" s="97" t="s">
        <v>374</v>
      </c>
      <c r="D92" s="287"/>
      <c r="E92" s="95"/>
      <c r="F92" s="97" t="s">
        <v>375</v>
      </c>
      <c r="G92" s="28"/>
    </row>
    <row r="93" spans="1:10" x14ac:dyDescent="0.25">
      <c r="B93" s="28"/>
      <c r="C93" s="97" t="s">
        <v>376</v>
      </c>
      <c r="D93" s="287"/>
      <c r="E93" s="95"/>
      <c r="F93" s="288" t="str">
        <f>ORÇAMENTO!F303</f>
        <v>CREA 1016927460/D-GO</v>
      </c>
      <c r="G93" s="28"/>
    </row>
    <row r="94" spans="1:10" x14ac:dyDescent="0.25">
      <c r="B94" s="28"/>
      <c r="C94" s="285"/>
      <c r="D94" s="23"/>
      <c r="E94" s="1"/>
      <c r="F94" s="25"/>
      <c r="G94" s="28"/>
    </row>
  </sheetData>
  <mergeCells count="57">
    <mergeCell ref="A40:A42"/>
    <mergeCell ref="B40:B42"/>
    <mergeCell ref="A43:A45"/>
    <mergeCell ref="B43:B45"/>
    <mergeCell ref="A31:A33"/>
    <mergeCell ref="B31:B33"/>
    <mergeCell ref="A34:A36"/>
    <mergeCell ref="B34:B36"/>
    <mergeCell ref="A37:A39"/>
    <mergeCell ref="B37:B39"/>
    <mergeCell ref="A25:A27"/>
    <mergeCell ref="B25:B27"/>
    <mergeCell ref="A28:A30"/>
    <mergeCell ref="D8:I8"/>
    <mergeCell ref="C1:I1"/>
    <mergeCell ref="C2:I2"/>
    <mergeCell ref="B28:B30"/>
    <mergeCell ref="A16:A18"/>
    <mergeCell ref="B16:B18"/>
    <mergeCell ref="A19:A21"/>
    <mergeCell ref="B19:B21"/>
    <mergeCell ref="A22:A24"/>
    <mergeCell ref="B22:B24"/>
    <mergeCell ref="A11:A12"/>
    <mergeCell ref="B11:C12"/>
    <mergeCell ref="D11:I11"/>
    <mergeCell ref="A13:A15"/>
    <mergeCell ref="B13:B15"/>
    <mergeCell ref="B58:B60"/>
    <mergeCell ref="A61:A63"/>
    <mergeCell ref="A79:A81"/>
    <mergeCell ref="B79:B81"/>
    <mergeCell ref="B64:B66"/>
    <mergeCell ref="A67:A69"/>
    <mergeCell ref="B67:B69"/>
    <mergeCell ref="A70:A72"/>
    <mergeCell ref="B70:B72"/>
    <mergeCell ref="A76:A78"/>
    <mergeCell ref="B76:B78"/>
    <mergeCell ref="A73:A75"/>
    <mergeCell ref="B73:B75"/>
    <mergeCell ref="B61:B63"/>
    <mergeCell ref="A64:A66"/>
    <mergeCell ref="A46:A48"/>
    <mergeCell ref="B46:B48"/>
    <mergeCell ref="A86:C86"/>
    <mergeCell ref="A49:A51"/>
    <mergeCell ref="B49:B51"/>
    <mergeCell ref="B82:I82"/>
    <mergeCell ref="A83:C83"/>
    <mergeCell ref="A84:C84"/>
    <mergeCell ref="A85:C85"/>
    <mergeCell ref="A52:A54"/>
    <mergeCell ref="B52:B54"/>
    <mergeCell ref="A55:A57"/>
    <mergeCell ref="B55:B57"/>
    <mergeCell ref="A58:A60"/>
  </mergeCells>
  <phoneticPr fontId="13" type="noConversion"/>
  <conditionalFormatting sqref="D17:I17">
    <cfRule type="expression" dxfId="22" priority="42">
      <formula>IF(D16="",0,1)</formula>
    </cfRule>
  </conditionalFormatting>
  <conditionalFormatting sqref="D14:I14">
    <cfRule type="expression" dxfId="21" priority="22">
      <formula>IF(D13="",0,1)</formula>
    </cfRule>
  </conditionalFormatting>
  <conditionalFormatting sqref="D20:I20">
    <cfRule type="expression" dxfId="20" priority="21">
      <formula>IF(D19="",0,1)</formula>
    </cfRule>
  </conditionalFormatting>
  <conditionalFormatting sqref="D23:I23">
    <cfRule type="expression" dxfId="19" priority="20">
      <formula>IF(D22="",0,1)</formula>
    </cfRule>
  </conditionalFormatting>
  <conditionalFormatting sqref="D26:I26">
    <cfRule type="expression" dxfId="18" priority="19">
      <formula>IF(D25="",0,1)</formula>
    </cfRule>
  </conditionalFormatting>
  <conditionalFormatting sqref="D29:I29">
    <cfRule type="expression" dxfId="17" priority="18">
      <formula>IF(D28="",0,1)</formula>
    </cfRule>
  </conditionalFormatting>
  <conditionalFormatting sqref="D32:I32">
    <cfRule type="expression" dxfId="16" priority="17">
      <formula>IF(D31="",0,1)</formula>
    </cfRule>
  </conditionalFormatting>
  <conditionalFormatting sqref="D35:I35">
    <cfRule type="expression" dxfId="15" priority="16">
      <formula>IF(D34="",0,1)</formula>
    </cfRule>
  </conditionalFormatting>
  <conditionalFormatting sqref="D38:I38">
    <cfRule type="expression" dxfId="14" priority="15">
      <formula>IF(D37="",0,1)</formula>
    </cfRule>
  </conditionalFormatting>
  <conditionalFormatting sqref="D41:I41">
    <cfRule type="expression" dxfId="13" priority="14">
      <formula>IF(D40="",0,1)</formula>
    </cfRule>
  </conditionalFormatting>
  <conditionalFormatting sqref="D44:I44">
    <cfRule type="expression" dxfId="12" priority="13">
      <formula>IF(D43="",0,1)</formula>
    </cfRule>
  </conditionalFormatting>
  <conditionalFormatting sqref="D47:I47">
    <cfRule type="expression" dxfId="11" priority="12">
      <formula>IF(D46="",0,1)</formula>
    </cfRule>
  </conditionalFormatting>
  <conditionalFormatting sqref="D50:I50">
    <cfRule type="expression" dxfId="10" priority="11">
      <formula>IF(D49="",0,1)</formula>
    </cfRule>
  </conditionalFormatting>
  <conditionalFormatting sqref="D53:I53">
    <cfRule type="expression" dxfId="9" priority="10">
      <formula>IF(D52="",0,1)</formula>
    </cfRule>
  </conditionalFormatting>
  <conditionalFormatting sqref="D56:I56">
    <cfRule type="expression" dxfId="8" priority="9">
      <formula>IF(D55="",0,1)</formula>
    </cfRule>
  </conditionalFormatting>
  <conditionalFormatting sqref="D59:I59">
    <cfRule type="expression" dxfId="7" priority="8">
      <formula>IF(D58="",0,1)</formula>
    </cfRule>
  </conditionalFormatting>
  <conditionalFormatting sqref="D62:I62">
    <cfRule type="expression" dxfId="6" priority="7">
      <formula>IF(D61="",0,1)</formula>
    </cfRule>
  </conditionalFormatting>
  <conditionalFormatting sqref="D65:I65">
    <cfRule type="expression" dxfId="5" priority="6">
      <formula>IF(D64="",0,1)</formula>
    </cfRule>
  </conditionalFormatting>
  <conditionalFormatting sqref="D68:I68">
    <cfRule type="expression" dxfId="4" priority="5">
      <formula>IF(D67="",0,1)</formula>
    </cfRule>
  </conditionalFormatting>
  <conditionalFormatting sqref="D71:I71">
    <cfRule type="expression" dxfId="3" priority="4">
      <formula>IF(D70="",0,1)</formula>
    </cfRule>
  </conditionalFormatting>
  <conditionalFormatting sqref="D74:I74">
    <cfRule type="expression" dxfId="2" priority="3">
      <formula>IF(D73="",0,1)</formula>
    </cfRule>
  </conditionalFormatting>
  <conditionalFormatting sqref="D77:I77">
    <cfRule type="expression" dxfId="1" priority="2">
      <formula>IF(D76="",0,1)</formula>
    </cfRule>
  </conditionalFormatting>
  <conditionalFormatting sqref="D80:I80">
    <cfRule type="expression" dxfId="0" priority="1">
      <formula>IF(D79="",0,1)</formula>
    </cfRule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</vt:lpstr>
      <vt:lpstr>MEMÓRIA DE CÁLCULO</vt:lpstr>
      <vt:lpstr>BDI</vt:lpstr>
      <vt:lpstr>CRONOGRAMA</vt:lpstr>
      <vt:lpstr>VALOR_TOTAL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2021-01-28T17:51:11Z</dcterms:modified>
</cp:coreProperties>
</file>