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9528" activeTab="4"/>
  </bookViews>
  <sheets>
    <sheet name="ORÇAMENTO" sheetId="1" r:id="rId1"/>
    <sheet name="MEMÓRIA DE CÁLCULO" sheetId="2" r:id="rId2"/>
    <sheet name="COMPOSIÇÃO" sheetId="10" r:id="rId3"/>
    <sheet name="CRONOGRAMA" sheetId="7" r:id="rId4"/>
    <sheet name="BDI (23,88%)" sheetId="9" r:id="rId5"/>
  </sheets>
  <definedNames>
    <definedName name="_xlnm._FilterDatabase" localSheetId="0" hidden="1">ORÇAMENTO!#REF!</definedName>
    <definedName name="BDI" localSheetId="4">('BDI (23,88%)'!$J$13/100)+1</definedName>
    <definedName name="BDI">ORÇAMENTO!$D$11/100</definedName>
    <definedName name="VALOR_TOTAL">ORÇAMENTO!$I$173</definedName>
  </definedNames>
  <calcPr calcId="152511"/>
</workbook>
</file>

<file path=xl/calcChain.xml><?xml version="1.0" encoding="utf-8"?>
<calcChain xmlns="http://schemas.openxmlformats.org/spreadsheetml/2006/main">
  <c r="G22" i="10" l="1"/>
  <c r="G29" i="10"/>
  <c r="D10" i="10"/>
  <c r="D9" i="10"/>
  <c r="C583" i="2"/>
  <c r="D183" i="2"/>
  <c r="D184" i="2" s="1"/>
  <c r="E53" i="1" s="1"/>
  <c r="I53" i="1" s="1"/>
  <c r="D182" i="2"/>
  <c r="C179" i="2"/>
  <c r="B179" i="2"/>
  <c r="A179" i="2"/>
  <c r="D165" i="2"/>
  <c r="D51" i="2"/>
  <c r="D266" i="2"/>
  <c r="D267" i="2" s="1"/>
  <c r="D241" i="2"/>
  <c r="D242" i="2"/>
  <c r="D424" i="2"/>
  <c r="D425" i="2" s="1"/>
  <c r="D409" i="2"/>
  <c r="D410" i="2" s="1"/>
  <c r="D314" i="2"/>
  <c r="D353" i="2" l="1"/>
  <c r="B68" i="7" l="1"/>
  <c r="B65" i="7"/>
  <c r="B62" i="7"/>
  <c r="B59" i="7"/>
  <c r="B56" i="7"/>
  <c r="B53" i="7"/>
  <c r="B50" i="7"/>
  <c r="B47" i="7"/>
  <c r="B44" i="7"/>
  <c r="B35" i="7"/>
  <c r="I29" i="10"/>
  <c r="I28" i="10"/>
  <c r="I27" i="10"/>
  <c r="B25" i="10"/>
  <c r="E81" i="1"/>
  <c r="C296" i="2"/>
  <c r="B296" i="2"/>
  <c r="A296" i="2"/>
  <c r="D590" i="2"/>
  <c r="D591" i="2" s="1"/>
  <c r="E168" i="1" s="1"/>
  <c r="I168" i="1" s="1"/>
  <c r="C589" i="2"/>
  <c r="B589" i="2"/>
  <c r="A589" i="2"/>
  <c r="E87" i="1"/>
  <c r="I87" i="1" s="1"/>
  <c r="E88" i="1"/>
  <c r="I88" i="1" s="1"/>
  <c r="E89" i="1"/>
  <c r="I89" i="1" s="1"/>
  <c r="E90" i="1"/>
  <c r="I90" i="1" s="1"/>
  <c r="E85" i="1"/>
  <c r="I85" i="1" s="1"/>
  <c r="D300" i="2"/>
  <c r="E86" i="1" s="1"/>
  <c r="I86" i="1" s="1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C299" i="2"/>
  <c r="B299" i="2"/>
  <c r="A299" i="2"/>
  <c r="I30" i="10" l="1"/>
  <c r="I31" i="10" s="1"/>
  <c r="G81" i="1" s="1"/>
  <c r="I81" i="1" s="1"/>
  <c r="D520" i="2"/>
  <c r="D517" i="2"/>
  <c r="D516" i="2"/>
  <c r="D376" i="2"/>
  <c r="E115" i="1" s="1"/>
  <c r="I115" i="1" s="1"/>
  <c r="D372" i="2"/>
  <c r="D371" i="2"/>
  <c r="C374" i="2"/>
  <c r="B374" i="2"/>
  <c r="A374" i="2"/>
  <c r="C370" i="2"/>
  <c r="B370" i="2"/>
  <c r="A370" i="2"/>
  <c r="B368" i="2"/>
  <c r="A368" i="2"/>
  <c r="C379" i="2"/>
  <c r="B379" i="2"/>
  <c r="A379" i="2"/>
  <c r="K120" i="1"/>
  <c r="K118" i="1"/>
  <c r="J118" i="1"/>
  <c r="D525" i="2"/>
  <c r="E150" i="1" s="1"/>
  <c r="D587" i="2"/>
  <c r="D588" i="2" s="1"/>
  <c r="E167" i="1" s="1"/>
  <c r="I167" i="1" s="1"/>
  <c r="C586" i="2"/>
  <c r="B586" i="2"/>
  <c r="A586" i="2"/>
  <c r="E166" i="1"/>
  <c r="I166" i="1" s="1"/>
  <c r="B583" i="2"/>
  <c r="A583" i="2"/>
  <c r="D585" i="2"/>
  <c r="C580" i="2"/>
  <c r="B580" i="2"/>
  <c r="A580" i="2"/>
  <c r="D579" i="2"/>
  <c r="E164" i="1" s="1"/>
  <c r="I164" i="1" s="1"/>
  <c r="D581" i="2"/>
  <c r="D582" i="2" s="1"/>
  <c r="E165" i="1" s="1"/>
  <c r="I165" i="1" s="1"/>
  <c r="C577" i="2"/>
  <c r="B577" i="2"/>
  <c r="A577" i="2"/>
  <c r="C574" i="2"/>
  <c r="B574" i="2"/>
  <c r="A574" i="2"/>
  <c r="D576" i="2"/>
  <c r="E163" i="1" s="1"/>
  <c r="I163" i="1" s="1"/>
  <c r="C564" i="2"/>
  <c r="B564" i="2"/>
  <c r="A564" i="2"/>
  <c r="D566" i="2"/>
  <c r="E160" i="1" s="1"/>
  <c r="I160" i="1" s="1"/>
  <c r="D557" i="2"/>
  <c r="E157" i="1" s="1"/>
  <c r="D559" i="2"/>
  <c r="D560" i="2" s="1"/>
  <c r="E158" i="1" s="1"/>
  <c r="C552" i="2"/>
  <c r="B552" i="2"/>
  <c r="A552" i="2"/>
  <c r="D444" i="2"/>
  <c r="D445" i="2" s="1"/>
  <c r="E131" i="1" s="1"/>
  <c r="D448" i="2"/>
  <c r="E132" i="1" s="1"/>
  <c r="C446" i="2"/>
  <c r="A446" i="2"/>
  <c r="C442" i="2"/>
  <c r="B442" i="2"/>
  <c r="A442" i="2"/>
  <c r="D132" i="1"/>
  <c r="B446" i="2" s="1"/>
  <c r="A436" i="2"/>
  <c r="C436" i="2"/>
  <c r="B436" i="2"/>
  <c r="C432" i="2"/>
  <c r="B432" i="2"/>
  <c r="A432" i="2"/>
  <c r="C429" i="2"/>
  <c r="B429" i="2"/>
  <c r="A429" i="2"/>
  <c r="D435" i="2"/>
  <c r="E129" i="1" s="1"/>
  <c r="D431" i="2"/>
  <c r="E128" i="1" s="1"/>
  <c r="D373" i="2" l="1"/>
  <c r="E114" i="1" s="1"/>
  <c r="D518" i="2"/>
  <c r="L118" i="1"/>
  <c r="D573" i="2"/>
  <c r="E162" i="1" s="1"/>
  <c r="I162" i="1" s="1"/>
  <c r="D563" i="2"/>
  <c r="E159" i="1" s="1"/>
  <c r="I159" i="1" s="1"/>
  <c r="D569" i="2"/>
  <c r="E161" i="1" s="1"/>
  <c r="I161" i="1" s="1"/>
  <c r="C570" i="2"/>
  <c r="B570" i="2"/>
  <c r="A570" i="2"/>
  <c r="C567" i="2"/>
  <c r="B567" i="2"/>
  <c r="A567" i="2"/>
  <c r="C561" i="2"/>
  <c r="B561" i="2"/>
  <c r="A561" i="2"/>
  <c r="I158" i="1"/>
  <c r="I157" i="1"/>
  <c r="C558" i="2"/>
  <c r="B558" i="2"/>
  <c r="A558" i="2"/>
  <c r="C555" i="2"/>
  <c r="B555" i="2"/>
  <c r="A555" i="2"/>
  <c r="D535" i="2"/>
  <c r="D536" i="2" s="1"/>
  <c r="D492" i="2"/>
  <c r="D547" i="2"/>
  <c r="D548" i="2" s="1"/>
  <c r="D529" i="2"/>
  <c r="D532" i="2" s="1"/>
  <c r="D541" i="2"/>
  <c r="D544" i="2" s="1"/>
  <c r="D418" i="2"/>
  <c r="D421" i="2" s="1"/>
  <c r="C413" i="2"/>
  <c r="C414" i="2"/>
  <c r="C415" i="2"/>
  <c r="D403" i="2"/>
  <c r="D406" i="2" s="1"/>
  <c r="C351" i="2"/>
  <c r="B351" i="2"/>
  <c r="A351" i="2"/>
  <c r="D310" i="2"/>
  <c r="C307" i="2"/>
  <c r="B307" i="2"/>
  <c r="A307" i="2"/>
  <c r="B305" i="2"/>
  <c r="A305" i="2"/>
  <c r="K95" i="1"/>
  <c r="K93" i="1"/>
  <c r="J93" i="1"/>
  <c r="D68" i="2"/>
  <c r="E32" i="1" s="1"/>
  <c r="D75" i="2"/>
  <c r="E34" i="1" s="1"/>
  <c r="I34" i="1" s="1"/>
  <c r="C76" i="2"/>
  <c r="B76" i="2"/>
  <c r="A76" i="2"/>
  <c r="C72" i="2"/>
  <c r="B72" i="2"/>
  <c r="A72" i="2"/>
  <c r="D78" i="2"/>
  <c r="E35" i="1" s="1"/>
  <c r="I35" i="1" s="1"/>
  <c r="D315" i="2" l="1"/>
  <c r="E94" i="1" s="1"/>
  <c r="I94" i="1" s="1"/>
  <c r="I95" i="1" s="1"/>
  <c r="D549" i="2"/>
  <c r="E152" i="1" s="1"/>
  <c r="D537" i="2"/>
  <c r="E151" i="1" s="1"/>
  <c r="L93" i="1"/>
  <c r="C150" i="2"/>
  <c r="B150" i="2"/>
  <c r="A150" i="2"/>
  <c r="D153" i="2"/>
  <c r="D155" i="2" s="1"/>
  <c r="E46" i="1" s="1"/>
  <c r="I46" i="1" s="1"/>
  <c r="D439" i="2"/>
  <c r="D441" i="2" s="1"/>
  <c r="E130" i="1" s="1"/>
  <c r="D262" i="2"/>
  <c r="D261" i="2"/>
  <c r="D263" i="2" s="1"/>
  <c r="D236" i="2"/>
  <c r="D237" i="2"/>
  <c r="D217" i="2"/>
  <c r="D197" i="2"/>
  <c r="C35" i="7" l="1"/>
  <c r="J95" i="1"/>
  <c r="D238" i="2"/>
  <c r="D216" i="2"/>
  <c r="D218" i="2" s="1"/>
  <c r="D196" i="2"/>
  <c r="D198" i="2" s="1"/>
  <c r="B169" i="2"/>
  <c r="A169" i="2"/>
  <c r="C169" i="2"/>
  <c r="D62" i="2"/>
  <c r="D63" i="2" s="1"/>
  <c r="D64" i="2" s="1"/>
  <c r="E31" i="1" s="1"/>
  <c r="D56" i="2"/>
  <c r="D50" i="2"/>
  <c r="D352" i="2" s="1"/>
  <c r="D354" i="2" s="1"/>
  <c r="E105" i="1" s="1"/>
  <c r="I105" i="1" s="1"/>
  <c r="D496" i="2"/>
  <c r="D497" i="2" s="1"/>
  <c r="D514" i="2"/>
  <c r="D515" i="2" s="1"/>
  <c r="D509" i="2"/>
  <c r="D510" i="2" s="1"/>
  <c r="D504" i="2"/>
  <c r="D505" i="2" s="1"/>
  <c r="L95" i="1" l="1"/>
  <c r="C37" i="7"/>
  <c r="D521" i="2"/>
  <c r="E149" i="1" s="1"/>
  <c r="D52" i="2"/>
  <c r="E29" i="1" s="1"/>
  <c r="D493" i="2"/>
  <c r="D488" i="2"/>
  <c r="D489" i="2" s="1"/>
  <c r="D482" i="2"/>
  <c r="D483" i="2" s="1"/>
  <c r="D476" i="2"/>
  <c r="D468" i="2"/>
  <c r="D469" i="2" s="1"/>
  <c r="E143" i="1" s="1"/>
  <c r="D464" i="2"/>
  <c r="D465" i="2" s="1"/>
  <c r="E142" i="1" s="1"/>
  <c r="D475" i="2"/>
  <c r="D284" i="2"/>
  <c r="D160" i="2"/>
  <c r="H37" i="7" l="1"/>
  <c r="E37" i="7"/>
  <c r="F37" i="7"/>
  <c r="G37" i="7"/>
  <c r="D498" i="2"/>
  <c r="E148" i="1" s="1"/>
  <c r="I148" i="1" s="1"/>
  <c r="D477" i="2"/>
  <c r="D484" i="2" s="1"/>
  <c r="E147" i="1" s="1"/>
  <c r="I147" i="1" s="1"/>
  <c r="C538" i="2"/>
  <c r="B538" i="2"/>
  <c r="A538" i="2"/>
  <c r="C526" i="2"/>
  <c r="B526" i="2"/>
  <c r="A526" i="2"/>
  <c r="I151" i="1"/>
  <c r="I152" i="1"/>
  <c r="C522" i="2"/>
  <c r="B522" i="2"/>
  <c r="A522" i="2"/>
  <c r="C499" i="2"/>
  <c r="B499" i="2"/>
  <c r="A499" i="2"/>
  <c r="C485" i="2"/>
  <c r="B485" i="2"/>
  <c r="A485" i="2"/>
  <c r="C472" i="2"/>
  <c r="B472" i="2"/>
  <c r="A472" i="2"/>
  <c r="I149" i="1"/>
  <c r="I150" i="1"/>
  <c r="I143" i="1"/>
  <c r="I142" i="1"/>
  <c r="C466" i="2"/>
  <c r="B466" i="2"/>
  <c r="A466" i="2"/>
  <c r="C462" i="2"/>
  <c r="B462" i="2"/>
  <c r="A462" i="2"/>
  <c r="C457" i="2"/>
  <c r="B457" i="2"/>
  <c r="A457" i="2"/>
  <c r="D458" i="2"/>
  <c r="D459" i="2" s="1"/>
  <c r="E138" i="1" s="1"/>
  <c r="I138" i="1" s="1"/>
  <c r="D455" i="2"/>
  <c r="D456" i="2" s="1"/>
  <c r="E137" i="1" s="1"/>
  <c r="I137" i="1" s="1"/>
  <c r="C454" i="2"/>
  <c r="B454" i="2"/>
  <c r="A454" i="2"/>
  <c r="I129" i="1"/>
  <c r="I130" i="1"/>
  <c r="I131" i="1"/>
  <c r="I128" i="1"/>
  <c r="D452" i="2"/>
  <c r="D453" i="2" s="1"/>
  <c r="E136" i="1" s="1"/>
  <c r="I136" i="1" s="1"/>
  <c r="C451" i="2"/>
  <c r="A451" i="2"/>
  <c r="B451" i="2"/>
  <c r="B449" i="2"/>
  <c r="A449" i="2"/>
  <c r="I22" i="10"/>
  <c r="D12" i="10"/>
  <c r="D8" i="10"/>
  <c r="D7" i="10"/>
  <c r="D6" i="10"/>
  <c r="D5" i="10"/>
  <c r="I21" i="10"/>
  <c r="I20" i="10"/>
  <c r="I17" i="10"/>
  <c r="I16" i="10"/>
  <c r="I18" i="10" s="1"/>
  <c r="H132" i="1" s="1"/>
  <c r="I153" i="1" l="1"/>
  <c r="I23" i="10"/>
  <c r="C65" i="7" l="1"/>
  <c r="J153" i="1"/>
  <c r="C67" i="7" s="1"/>
  <c r="I24" i="10"/>
  <c r="G132" i="1"/>
  <c r="I132" i="1" s="1"/>
  <c r="B427" i="2"/>
  <c r="A427" i="2"/>
  <c r="C412" i="2"/>
  <c r="C397" i="2"/>
  <c r="B412" i="2"/>
  <c r="A412" i="2"/>
  <c r="B397" i="2"/>
  <c r="A397" i="2"/>
  <c r="D392" i="2"/>
  <c r="D388" i="2"/>
  <c r="D384" i="2"/>
  <c r="E67" i="7" l="1"/>
  <c r="F67" i="7"/>
  <c r="G67" i="7"/>
  <c r="H67" i="7"/>
  <c r="D394" i="2"/>
  <c r="D367" i="2"/>
  <c r="E110" i="1" s="1"/>
  <c r="I110" i="1" s="1"/>
  <c r="C362" i="2"/>
  <c r="B362" i="2"/>
  <c r="A362" i="2"/>
  <c r="D360" i="2"/>
  <c r="D361" i="2" s="1"/>
  <c r="E109" i="1" s="1"/>
  <c r="I109" i="1" s="1"/>
  <c r="C357" i="2"/>
  <c r="B357" i="2"/>
  <c r="A357" i="2"/>
  <c r="D343" i="2"/>
  <c r="D339" i="2"/>
  <c r="D340" i="2" s="1"/>
  <c r="D348" i="2"/>
  <c r="D347" i="2"/>
  <c r="C346" i="2"/>
  <c r="B346" i="2"/>
  <c r="A346" i="2"/>
  <c r="C336" i="2"/>
  <c r="B336" i="2"/>
  <c r="A336" i="2"/>
  <c r="D331" i="2"/>
  <c r="D332" i="2" s="1"/>
  <c r="D400" i="2" s="1"/>
  <c r="D415" i="2" s="1"/>
  <c r="D327" i="2"/>
  <c r="C324" i="2"/>
  <c r="B324" i="2"/>
  <c r="A324" i="2"/>
  <c r="D321" i="2"/>
  <c r="D322" i="2" s="1"/>
  <c r="I114" i="1" l="1"/>
  <c r="I116" i="1" s="1"/>
  <c r="E119" i="1"/>
  <c r="I119" i="1" s="1"/>
  <c r="I120" i="1" s="1"/>
  <c r="D344" i="2"/>
  <c r="D345" i="2" s="1"/>
  <c r="E103" i="1" s="1"/>
  <c r="I103" i="1" s="1"/>
  <c r="D328" i="2"/>
  <c r="D333" i="2" s="1"/>
  <c r="D323" i="2"/>
  <c r="E98" i="1" s="1"/>
  <c r="I98" i="1" s="1"/>
  <c r="D350" i="2"/>
  <c r="E104" i="1" s="1"/>
  <c r="I104" i="1" s="1"/>
  <c r="I111" i="1"/>
  <c r="D224" i="2"/>
  <c r="C44" i="7" l="1"/>
  <c r="J111" i="1"/>
  <c r="C46" i="7" s="1"/>
  <c r="C47" i="7"/>
  <c r="J116" i="1"/>
  <c r="C49" i="7" s="1"/>
  <c r="C50" i="7"/>
  <c r="J120" i="1"/>
  <c r="I106" i="1"/>
  <c r="E99" i="1"/>
  <c r="I99" i="1" s="1"/>
  <c r="D399" i="2"/>
  <c r="D414" i="2" s="1"/>
  <c r="C318" i="2"/>
  <c r="B318" i="2"/>
  <c r="A318" i="2"/>
  <c r="B316" i="2"/>
  <c r="D192" i="2"/>
  <c r="D193" i="2" s="1"/>
  <c r="D212" i="2"/>
  <c r="D213" i="2" s="1"/>
  <c r="D257" i="2"/>
  <c r="D258" i="2" s="1"/>
  <c r="D254" i="2"/>
  <c r="D249" i="2"/>
  <c r="D250" i="2" s="1"/>
  <c r="D225" i="2"/>
  <c r="D232" i="2"/>
  <c r="D229" i="2"/>
  <c r="D166" i="2"/>
  <c r="D168" i="2" s="1"/>
  <c r="D176" i="2"/>
  <c r="D177" i="2" s="1"/>
  <c r="D172" i="2"/>
  <c r="D173" i="2" s="1"/>
  <c r="D159" i="2"/>
  <c r="D272" i="2"/>
  <c r="D273" i="2" s="1"/>
  <c r="D274" i="2" s="1"/>
  <c r="E58" i="1" s="1"/>
  <c r="I58" i="1" s="1"/>
  <c r="D189" i="2"/>
  <c r="D208" i="2"/>
  <c r="D209" i="2" s="1"/>
  <c r="D205" i="2"/>
  <c r="C269" i="2"/>
  <c r="B269" i="2"/>
  <c r="A269" i="2"/>
  <c r="C246" i="2"/>
  <c r="B246" i="2"/>
  <c r="A246" i="2"/>
  <c r="C221" i="2"/>
  <c r="B221" i="2"/>
  <c r="A221" i="2"/>
  <c r="C201" i="2"/>
  <c r="B201" i="2"/>
  <c r="A201" i="2"/>
  <c r="C185" i="2"/>
  <c r="B185" i="2"/>
  <c r="A185" i="2"/>
  <c r="C162" i="2"/>
  <c r="C158" i="2"/>
  <c r="B162" i="2"/>
  <c r="A162" i="2"/>
  <c r="D280" i="2"/>
  <c r="E65" i="1" s="1"/>
  <c r="I65" i="1" s="1"/>
  <c r="E80" i="1"/>
  <c r="I80" i="1" s="1"/>
  <c r="C295" i="2"/>
  <c r="B295" i="2"/>
  <c r="E78" i="1"/>
  <c r="I78" i="1" s="1"/>
  <c r="D294" i="2"/>
  <c r="E79" i="1" s="1"/>
  <c r="I79" i="1" s="1"/>
  <c r="C294" i="2"/>
  <c r="B294" i="2"/>
  <c r="D290" i="2"/>
  <c r="E75" i="1" s="1"/>
  <c r="I75" i="1" s="1"/>
  <c r="C293" i="2"/>
  <c r="B293" i="2"/>
  <c r="E77" i="1"/>
  <c r="D147" i="2"/>
  <c r="D149" i="2" s="1"/>
  <c r="D287" i="2"/>
  <c r="E72" i="1" s="1"/>
  <c r="I72" i="1" s="1"/>
  <c r="D286" i="2"/>
  <c r="E71" i="1" s="1"/>
  <c r="I71" i="1" s="1"/>
  <c r="D285" i="2"/>
  <c r="E70" i="1" s="1"/>
  <c r="I70" i="1" s="1"/>
  <c r="E69" i="1"/>
  <c r="I69" i="1" s="1"/>
  <c r="D282" i="2"/>
  <c r="E67" i="1" s="1"/>
  <c r="I67" i="1" s="1"/>
  <c r="D283" i="2"/>
  <c r="D278" i="2" s="1"/>
  <c r="E63" i="1" s="1"/>
  <c r="I63" i="1" s="1"/>
  <c r="D277" i="2"/>
  <c r="E62" i="1" s="1"/>
  <c r="I62" i="1" s="1"/>
  <c r="E66" i="1"/>
  <c r="I66" i="1" s="1"/>
  <c r="E73" i="1"/>
  <c r="I73" i="1" s="1"/>
  <c r="E74" i="1"/>
  <c r="I74" i="1" s="1"/>
  <c r="E76" i="1"/>
  <c r="I76" i="1" s="1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C277" i="2"/>
  <c r="B277" i="2"/>
  <c r="A277" i="2"/>
  <c r="D178" i="2" l="1"/>
  <c r="E52" i="1" s="1"/>
  <c r="I52" i="1" s="1"/>
  <c r="L120" i="1"/>
  <c r="C52" i="7"/>
  <c r="E49" i="7"/>
  <c r="F49" i="7"/>
  <c r="G49" i="7"/>
  <c r="H49" i="7"/>
  <c r="H46" i="7"/>
  <c r="E46" i="7"/>
  <c r="F46" i="7"/>
  <c r="G46" i="7"/>
  <c r="C41" i="7"/>
  <c r="J106" i="1"/>
  <c r="C43" i="7" s="1"/>
  <c r="D268" i="2"/>
  <c r="D233" i="2"/>
  <c r="D243" i="2"/>
  <c r="D245" i="2"/>
  <c r="E56" i="1" s="1"/>
  <c r="I56" i="1" s="1"/>
  <c r="E57" i="1"/>
  <c r="I57" i="1" s="1"/>
  <c r="D220" i="2"/>
  <c r="E55" i="1" s="1"/>
  <c r="I55" i="1" s="1"/>
  <c r="D200" i="2"/>
  <c r="E54" i="1" s="1"/>
  <c r="I54" i="1" s="1"/>
  <c r="D161" i="2"/>
  <c r="E51" i="1"/>
  <c r="I51" i="1" s="1"/>
  <c r="D279" i="2"/>
  <c r="E64" i="1" s="1"/>
  <c r="E68" i="1"/>
  <c r="I68" i="1" s="1"/>
  <c r="I77" i="1"/>
  <c r="E43" i="7" l="1"/>
  <c r="F43" i="7"/>
  <c r="G43" i="7"/>
  <c r="H43" i="7"/>
  <c r="E52" i="7"/>
  <c r="F52" i="7"/>
  <c r="G52" i="7"/>
  <c r="H52" i="7"/>
  <c r="E50" i="1"/>
  <c r="I50" i="1" s="1"/>
  <c r="I59" i="1" s="1"/>
  <c r="J59" i="1" s="1"/>
  <c r="C28" i="7" s="1"/>
  <c r="D398" i="2"/>
  <c r="D411" i="2" s="1"/>
  <c r="I64" i="1"/>
  <c r="I82" i="1" s="1"/>
  <c r="J82" i="1" s="1"/>
  <c r="C31" i="7" s="1"/>
  <c r="C10" i="9"/>
  <c r="D8" i="9"/>
  <c r="D7" i="9"/>
  <c r="C7" i="9"/>
  <c r="D6" i="9"/>
  <c r="C6" i="9"/>
  <c r="D5" i="9"/>
  <c r="C5" i="9"/>
  <c r="D4" i="9"/>
  <c r="C4" i="9"/>
  <c r="D3" i="9"/>
  <c r="C3" i="9"/>
  <c r="I68" i="7"/>
  <c r="I65" i="7"/>
  <c r="I62" i="7"/>
  <c r="I59" i="7"/>
  <c r="I56" i="7"/>
  <c r="I53" i="7"/>
  <c r="I50" i="7"/>
  <c r="I47" i="7"/>
  <c r="I44" i="7"/>
  <c r="I41" i="7"/>
  <c r="B41" i="7"/>
  <c r="I38" i="7"/>
  <c r="B38" i="7"/>
  <c r="I35" i="7"/>
  <c r="I32" i="7"/>
  <c r="B32" i="7"/>
  <c r="I29" i="7"/>
  <c r="B29" i="7"/>
  <c r="I26" i="7"/>
  <c r="B26" i="7"/>
  <c r="I23" i="7"/>
  <c r="B23" i="7"/>
  <c r="I20" i="7"/>
  <c r="B20" i="7"/>
  <c r="B17" i="7"/>
  <c r="A17" i="7"/>
  <c r="A20" i="7" s="1"/>
  <c r="A23" i="7" s="1"/>
  <c r="A26" i="7" s="1"/>
  <c r="A29" i="7" s="1"/>
  <c r="A32" i="7" s="1"/>
  <c r="A35" i="7" s="1"/>
  <c r="A38" i="7" s="1"/>
  <c r="A41" i="7" s="1"/>
  <c r="A44" i="7" s="1"/>
  <c r="A47" i="7" s="1"/>
  <c r="A50" i="7" s="1"/>
  <c r="A53" i="7" s="1"/>
  <c r="A56" i="7" s="1"/>
  <c r="A59" i="7" s="1"/>
  <c r="A62" i="7" s="1"/>
  <c r="A65" i="7" s="1"/>
  <c r="A68" i="7" s="1"/>
  <c r="A14" i="7"/>
  <c r="C10" i="7"/>
  <c r="D8" i="7"/>
  <c r="D7" i="7"/>
  <c r="C7" i="7"/>
  <c r="D6" i="7"/>
  <c r="C6" i="7"/>
  <c r="D5" i="7"/>
  <c r="C5" i="7"/>
  <c r="D4" i="7"/>
  <c r="C4" i="7"/>
  <c r="D3" i="7"/>
  <c r="C3" i="7"/>
  <c r="A550" i="2"/>
  <c r="A470" i="2"/>
  <c r="A460" i="2"/>
  <c r="B158" i="2"/>
  <c r="A158" i="2"/>
  <c r="C142" i="2"/>
  <c r="B142" i="2"/>
  <c r="A142" i="2"/>
  <c r="D138" i="2"/>
  <c r="D139" i="2" s="1"/>
  <c r="C134" i="2"/>
  <c r="B134" i="2"/>
  <c r="A134" i="2"/>
  <c r="D131" i="2"/>
  <c r="D132" i="2" s="1"/>
  <c r="D126" i="2"/>
  <c r="D127" i="2" s="1"/>
  <c r="C122" i="2"/>
  <c r="B122" i="2"/>
  <c r="A122" i="2"/>
  <c r="D119" i="2"/>
  <c r="D120" i="2" s="1"/>
  <c r="D114" i="2"/>
  <c r="D115" i="2" s="1"/>
  <c r="C110" i="2"/>
  <c r="B110" i="2"/>
  <c r="A110" i="2"/>
  <c r="D107" i="2"/>
  <c r="D108" i="2" s="1"/>
  <c r="D102" i="2"/>
  <c r="D103" i="2" s="1"/>
  <c r="C98" i="2"/>
  <c r="B98" i="2"/>
  <c r="A98" i="2"/>
  <c r="D95" i="2"/>
  <c r="D96" i="2" s="1"/>
  <c r="D90" i="2"/>
  <c r="D91" i="2" s="1"/>
  <c r="C86" i="2"/>
  <c r="B86" i="2"/>
  <c r="A86" i="2"/>
  <c r="D85" i="2"/>
  <c r="E39" i="1" s="1"/>
  <c r="I39" i="1" s="1"/>
  <c r="C81" i="2"/>
  <c r="B81" i="2"/>
  <c r="A81" i="2"/>
  <c r="D71" i="2"/>
  <c r="E33" i="1" s="1"/>
  <c r="I33" i="1" s="1"/>
  <c r="C69" i="2"/>
  <c r="B69" i="2"/>
  <c r="A69" i="2"/>
  <c r="C65" i="2"/>
  <c r="B65" i="2"/>
  <c r="A65" i="2"/>
  <c r="C58" i="2"/>
  <c r="B58" i="2"/>
  <c r="A58" i="2"/>
  <c r="C53" i="2"/>
  <c r="B53" i="2"/>
  <c r="A53" i="2"/>
  <c r="C47" i="2"/>
  <c r="B47" i="2"/>
  <c r="A47" i="2"/>
  <c r="C41" i="2"/>
  <c r="B41" i="2"/>
  <c r="A41" i="2"/>
  <c r="C38" i="2"/>
  <c r="B38" i="2"/>
  <c r="A38" i="2"/>
  <c r="D35" i="2"/>
  <c r="E20" i="1" s="1"/>
  <c r="I20" i="1" s="1"/>
  <c r="C33" i="2"/>
  <c r="B33" i="2"/>
  <c r="A33" i="2"/>
  <c r="C28" i="2"/>
  <c r="B28" i="2"/>
  <c r="A28" i="2"/>
  <c r="C23" i="2"/>
  <c r="B23" i="2"/>
  <c r="A23" i="2"/>
  <c r="D22" i="2"/>
  <c r="D42" i="2" s="1"/>
  <c r="D44" i="2" s="1"/>
  <c r="E25" i="1" s="1"/>
  <c r="I25" i="1" s="1"/>
  <c r="C20" i="2"/>
  <c r="B20" i="2"/>
  <c r="A20" i="2"/>
  <c r="D19" i="2"/>
  <c r="D39" i="2" s="1"/>
  <c r="C17" i="2"/>
  <c r="B17" i="2"/>
  <c r="A17" i="2"/>
  <c r="D16" i="2"/>
  <c r="E15" i="1" s="1"/>
  <c r="I15" i="1" s="1"/>
  <c r="C14" i="2"/>
  <c r="B14" i="2"/>
  <c r="A14" i="2"/>
  <c r="A10" i="2"/>
  <c r="B9" i="2"/>
  <c r="D9" i="7" s="1"/>
  <c r="B8" i="2"/>
  <c r="B7" i="2"/>
  <c r="A7" i="2"/>
  <c r="B6" i="2"/>
  <c r="A6" i="2"/>
  <c r="B5" i="2"/>
  <c r="A5" i="2"/>
  <c r="A4" i="2"/>
  <c r="B3" i="2"/>
  <c r="A3" i="2"/>
  <c r="K169" i="1"/>
  <c r="K155" i="1"/>
  <c r="J155" i="1"/>
  <c r="K153" i="1"/>
  <c r="K146" i="1"/>
  <c r="J146" i="1"/>
  <c r="K144" i="1"/>
  <c r="I144" i="1"/>
  <c r="K141" i="1"/>
  <c r="J141" i="1"/>
  <c r="K139" i="1"/>
  <c r="I139" i="1"/>
  <c r="K135" i="1"/>
  <c r="J135" i="1"/>
  <c r="K133" i="1"/>
  <c r="I133" i="1"/>
  <c r="K127" i="1"/>
  <c r="J127" i="1"/>
  <c r="K125" i="1"/>
  <c r="K122" i="1"/>
  <c r="J122" i="1"/>
  <c r="K116" i="1"/>
  <c r="D49" i="7"/>
  <c r="K113" i="1"/>
  <c r="J113" i="1"/>
  <c r="K111" i="1"/>
  <c r="K108" i="1"/>
  <c r="J108" i="1"/>
  <c r="K107" i="1"/>
  <c r="J107" i="1"/>
  <c r="K106" i="1"/>
  <c r="K102" i="1"/>
  <c r="J102" i="1"/>
  <c r="K100" i="1"/>
  <c r="I100" i="1"/>
  <c r="J100" i="1" s="1"/>
  <c r="C40" i="7" s="1"/>
  <c r="K97" i="1"/>
  <c r="J97" i="1"/>
  <c r="K91" i="1"/>
  <c r="I91" i="1"/>
  <c r="J91" i="1" s="1"/>
  <c r="C34" i="7" s="1"/>
  <c r="K84" i="1"/>
  <c r="J84" i="1"/>
  <c r="K82" i="1"/>
  <c r="K61" i="1"/>
  <c r="J61" i="1"/>
  <c r="K59" i="1"/>
  <c r="K49" i="1"/>
  <c r="J49" i="1"/>
  <c r="K47" i="1"/>
  <c r="E45" i="1"/>
  <c r="I45" i="1" s="1"/>
  <c r="K38" i="1"/>
  <c r="J38" i="1"/>
  <c r="K36" i="1"/>
  <c r="I32" i="1"/>
  <c r="I31" i="1"/>
  <c r="I29" i="1"/>
  <c r="K28" i="1"/>
  <c r="J28" i="1"/>
  <c r="K26" i="1"/>
  <c r="K23" i="1"/>
  <c r="J23" i="1"/>
  <c r="K21" i="1"/>
  <c r="H28" i="7" l="1"/>
  <c r="E28" i="7"/>
  <c r="F28" i="7"/>
  <c r="G28" i="7"/>
  <c r="E31" i="7"/>
  <c r="F31" i="7"/>
  <c r="G31" i="7"/>
  <c r="H31" i="7"/>
  <c r="E40" i="7"/>
  <c r="F40" i="7"/>
  <c r="G40" i="7"/>
  <c r="H40" i="7"/>
  <c r="E34" i="7"/>
  <c r="F34" i="7"/>
  <c r="G34" i="7"/>
  <c r="H34" i="7"/>
  <c r="C62" i="7"/>
  <c r="J144" i="1"/>
  <c r="C64" i="7" s="1"/>
  <c r="C56" i="7"/>
  <c r="J133" i="1"/>
  <c r="C58" i="7" s="1"/>
  <c r="D58" i="7" s="1"/>
  <c r="C59" i="7"/>
  <c r="J139" i="1"/>
  <c r="C32" i="7"/>
  <c r="C38" i="7"/>
  <c r="C29" i="7"/>
  <c r="D40" i="2"/>
  <c r="E24" i="1" s="1"/>
  <c r="I24" i="1" s="1"/>
  <c r="I26" i="1" s="1"/>
  <c r="J26" i="1" s="1"/>
  <c r="C19" i="7" s="1"/>
  <c r="C26" i="7"/>
  <c r="I17" i="7"/>
  <c r="I14" i="7"/>
  <c r="E123" i="1"/>
  <c r="I123" i="1" s="1"/>
  <c r="D413" i="2"/>
  <c r="D426" i="2" s="1"/>
  <c r="D57" i="2"/>
  <c r="E30" i="1" s="1"/>
  <c r="I30" i="1" s="1"/>
  <c r="I36" i="1" s="1"/>
  <c r="D10" i="9"/>
  <c r="D11" i="10"/>
  <c r="L141" i="1"/>
  <c r="L97" i="1"/>
  <c r="L84" i="1"/>
  <c r="L135" i="1"/>
  <c r="L111" i="1"/>
  <c r="L49" i="1"/>
  <c r="L23" i="1"/>
  <c r="L122" i="1"/>
  <c r="L91" i="1"/>
  <c r="L127" i="1"/>
  <c r="L108" i="1"/>
  <c r="L59" i="1"/>
  <c r="L100" i="1"/>
  <c r="L106" i="1"/>
  <c r="L116" i="1"/>
  <c r="L146" i="1"/>
  <c r="L61" i="1"/>
  <c r="L28" i="1"/>
  <c r="L102" i="1"/>
  <c r="L153" i="1"/>
  <c r="D141" i="2"/>
  <c r="E44" i="1" s="1"/>
  <c r="I44" i="1" s="1"/>
  <c r="E16" i="1"/>
  <c r="I16" i="1" s="1"/>
  <c r="D121" i="2"/>
  <c r="E42" i="1" s="1"/>
  <c r="I42" i="1" s="1"/>
  <c r="E17" i="1"/>
  <c r="I17" i="1" s="1"/>
  <c r="D97" i="2"/>
  <c r="E40" i="1" s="1"/>
  <c r="I40" i="1" s="1"/>
  <c r="D109" i="2"/>
  <c r="E41" i="1" s="1"/>
  <c r="I41" i="1" s="1"/>
  <c r="D133" i="2"/>
  <c r="E43" i="1" s="1"/>
  <c r="I43" i="1" s="1"/>
  <c r="L107" i="1"/>
  <c r="L144" i="1"/>
  <c r="L113" i="1"/>
  <c r="L155" i="1"/>
  <c r="L82" i="1"/>
  <c r="D46" i="7"/>
  <c r="D10" i="7"/>
  <c r="D37" i="7"/>
  <c r="L26" i="1"/>
  <c r="D43" i="7"/>
  <c r="L38" i="1"/>
  <c r="D67" i="7"/>
  <c r="D52" i="7"/>
  <c r="D9" i="9"/>
  <c r="H64" i="7" l="1"/>
  <c r="E64" i="7"/>
  <c r="F64" i="7"/>
  <c r="G64" i="7"/>
  <c r="L139" i="1"/>
  <c r="C61" i="7"/>
  <c r="L133" i="1"/>
  <c r="E58" i="7"/>
  <c r="F58" i="7"/>
  <c r="G58" i="7"/>
  <c r="H58" i="7"/>
  <c r="H19" i="7"/>
  <c r="E19" i="7"/>
  <c r="F19" i="7"/>
  <c r="G19" i="7"/>
  <c r="C20" i="7"/>
  <c r="J36" i="1"/>
  <c r="D28" i="7"/>
  <c r="D31" i="7"/>
  <c r="D40" i="7"/>
  <c r="D34" i="7"/>
  <c r="C17" i="7"/>
  <c r="E124" i="1"/>
  <c r="I124" i="1" s="1"/>
  <c r="I125" i="1" s="1"/>
  <c r="J125" i="1" s="1"/>
  <c r="I47" i="1"/>
  <c r="J47" i="1" s="1"/>
  <c r="L36" i="1" l="1"/>
  <c r="C22" i="7"/>
  <c r="L125" i="1"/>
  <c r="C55" i="7"/>
  <c r="E61" i="7"/>
  <c r="F61" i="7"/>
  <c r="G61" i="7"/>
  <c r="H61" i="7"/>
  <c r="D61" i="7"/>
  <c r="L47" i="1"/>
  <c r="C25" i="7"/>
  <c r="C23" i="7"/>
  <c r="C53" i="7"/>
  <c r="M169" i="1"/>
  <c r="N169" i="1" s="1"/>
  <c r="O169" i="1" s="1"/>
  <c r="D553" i="2" s="1"/>
  <c r="D554" i="2" s="1"/>
  <c r="E156" i="1" s="1"/>
  <c r="I156" i="1" s="1"/>
  <c r="D19" i="7"/>
  <c r="E25" i="7" l="1"/>
  <c r="F25" i="7"/>
  <c r="G25" i="7"/>
  <c r="H25" i="7"/>
  <c r="H55" i="7"/>
  <c r="G55" i="7"/>
  <c r="E55" i="7"/>
  <c r="F55" i="7"/>
  <c r="F22" i="7"/>
  <c r="G22" i="7"/>
  <c r="E22" i="7"/>
  <c r="H22" i="7"/>
  <c r="D22" i="7"/>
  <c r="D64" i="7"/>
  <c r="D25" i="7"/>
  <c r="D25" i="2"/>
  <c r="D27" i="2" s="1"/>
  <c r="E18" i="1" s="1"/>
  <c r="I18" i="1" s="1"/>
  <c r="D30" i="2"/>
  <c r="D32" i="2" s="1"/>
  <c r="E19" i="1" s="1"/>
  <c r="I19" i="1" s="1"/>
  <c r="D55" i="7"/>
  <c r="I21" i="1" l="1"/>
  <c r="I169" i="1"/>
  <c r="C68" i="7" l="1"/>
  <c r="J169" i="1"/>
  <c r="C14" i="7"/>
  <c r="J21" i="1"/>
  <c r="I171" i="1"/>
  <c r="I172" i="1" s="1"/>
  <c r="L21" i="1" l="1"/>
  <c r="C16" i="7"/>
  <c r="J172" i="1"/>
  <c r="C70" i="7"/>
  <c r="I173" i="1"/>
  <c r="E70" i="7" l="1"/>
  <c r="F70" i="7"/>
  <c r="G70" i="7"/>
  <c r="H70" i="7"/>
  <c r="D70" i="7"/>
  <c r="E16" i="7"/>
  <c r="F16" i="7"/>
  <c r="G16" i="7"/>
  <c r="G74" i="7" s="1"/>
  <c r="G72" i="7" s="1"/>
  <c r="H16" i="7"/>
  <c r="H74" i="7" s="1"/>
  <c r="H72" i="7" s="1"/>
  <c r="D16" i="7"/>
  <c r="D74" i="7" s="1"/>
  <c r="D75" i="7" s="1"/>
  <c r="F74" i="7" l="1"/>
  <c r="F72" i="7" s="1"/>
  <c r="E74" i="7"/>
  <c r="E72" i="7" s="1"/>
  <c r="D72" i="7"/>
  <c r="D73" i="7" s="1"/>
  <c r="E75" i="7" l="1"/>
  <c r="F75" i="7" s="1"/>
  <c r="G75" i="7" s="1"/>
  <c r="H75" i="7" s="1"/>
  <c r="E73" i="7"/>
  <c r="F73" i="7" s="1"/>
  <c r="G73" i="7" s="1"/>
  <c r="H73" i="7" s="1"/>
  <c r="K65" i="7"/>
  <c r="K41" i="7"/>
  <c r="K23" i="7" l="1"/>
  <c r="K35" i="7"/>
  <c r="K53" i="7"/>
  <c r="K20" i="7"/>
  <c r="K38" i="7"/>
  <c r="K56" i="7"/>
  <c r="K14" i="7"/>
  <c r="K68" i="7"/>
  <c r="K29" i="7"/>
  <c r="K59" i="7"/>
  <c r="K47" i="7"/>
  <c r="K26" i="7"/>
  <c r="K32" i="7"/>
  <c r="K44" i="7"/>
  <c r="K50" i="7"/>
  <c r="K62" i="7"/>
  <c r="K17" i="7"/>
</calcChain>
</file>

<file path=xl/sharedStrings.xml><?xml version="1.0" encoding="utf-8"?>
<sst xmlns="http://schemas.openxmlformats.org/spreadsheetml/2006/main" count="1684" uniqueCount="521">
  <si>
    <t>SECRETARIA MUNICIPAL DE OBRAS</t>
  </si>
  <si>
    <t>ITEM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</si>
  <si>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</si>
  <si>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</si>
  <si>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</si>
  <si>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</si>
  <si>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</si>
  <si>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</si>
  <si>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</si>
  <si>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SERVIÇOS PRELIMINARES</t>
  </si>
  <si>
    <t xml:space="preserve">m2 </t>
  </si>
  <si>
    <t>TRANSPORTES</t>
  </si>
  <si>
    <t>2.1</t>
  </si>
  <si>
    <t>SERVICO EM TERRA</t>
  </si>
  <si>
    <t xml:space="preserve">GOINFRA </t>
  </si>
  <si>
    <t>FUNDACOES E SONDAGENS</t>
  </si>
  <si>
    <t>ESTRUTURA</t>
  </si>
  <si>
    <t>INST. ELET./TELEFONICA/CABEAMENTO ESTRUTURADO</t>
  </si>
  <si>
    <t>INSTALAÇÕES HIDROSSANITÁRIAS</t>
  </si>
  <si>
    <t>IMPERMEABILIZACAO</t>
  </si>
  <si>
    <t>GRUPO DE SERVIÇO: 176- ESTRUTURA DE MADEIRA</t>
  </si>
  <si>
    <t>ESTRUTURA DE MADEIRA</t>
  </si>
  <si>
    <t>ESTRUTURAS METALICAS</t>
  </si>
  <si>
    <t>REVESTIMENTO DE PAREDES</t>
  </si>
  <si>
    <t>REVESTIMENTO DE PISO</t>
  </si>
  <si>
    <t>FERRAGENS</t>
  </si>
  <si>
    <t>ADMINISTRAÇÃO - MENSALISTAS</t>
  </si>
  <si>
    <t>PINTURA</t>
  </si>
  <si>
    <t>DIVERSOS</t>
  </si>
  <si>
    <t>SINAPI</t>
  </si>
  <si>
    <t>Quantidade</t>
  </si>
  <si>
    <t>Duração da obra</t>
  </si>
  <si>
    <t xml:space="preserve">m3 </t>
  </si>
  <si>
    <t>m2</t>
  </si>
  <si>
    <t xml:space="preserve"> </t>
  </si>
  <si>
    <t>_________________________________________</t>
  </si>
  <si>
    <t xml:space="preserve">LEONARDO MARTINS DE CASTRO TEIXEIRA </t>
  </si>
  <si>
    <t>SECRETÁRIO MUNICIPAL DE OBRAS</t>
  </si>
  <si>
    <t>CREA 7455/D-GO</t>
  </si>
  <si>
    <t>BDI</t>
  </si>
  <si>
    <t>und.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</si>
  <si>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</si>
  <si>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</si>
  <si>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</si>
  <si>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</si>
  <si>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</si>
  <si>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</si>
  <si>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</si>
  <si>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</si>
  <si>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</si>
  <si>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</si>
  <si>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</si>
  <si>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2.2</t>
  </si>
  <si>
    <t>TABELA</t>
  </si>
  <si>
    <t>CÓD.</t>
  </si>
  <si>
    <t>SETOR</t>
  </si>
  <si>
    <t>PROCESSO</t>
  </si>
  <si>
    <t>OBJETO</t>
  </si>
  <si>
    <t>ENDEREÇO</t>
  </si>
  <si>
    <t>TABELAS</t>
  </si>
  <si>
    <t xml:space="preserve">DATA </t>
  </si>
  <si>
    <t>TOTAL DO GRUPO</t>
  </si>
  <si>
    <t>CUSTO TOTAL</t>
  </si>
  <si>
    <t>VALOR TOTAL COM BDI</t>
  </si>
  <si>
    <t>RESPONSABILIDADE TÉCNICA</t>
  </si>
  <si>
    <t>DESCRIÇÃO</t>
  </si>
  <si>
    <t>UNID.</t>
  </si>
  <si>
    <t>MEMÓRIA CÁLCULO</t>
  </si>
  <si>
    <t>SERVIÇOS</t>
  </si>
  <si>
    <t>PERCENTUAL GLOBAL MENSAL</t>
  </si>
  <si>
    <t>PERCENTUAL GLOBAL ACUMULADO</t>
  </si>
  <si>
    <t>VALOR MENSAL</t>
  </si>
  <si>
    <t>VALOR ACUMULADO</t>
  </si>
  <si>
    <t>MEMORIAL DE CÁLCULO</t>
  </si>
  <si>
    <t>SERVIÇOS EM TERRA</t>
  </si>
  <si>
    <t>FUNDAÇÕES E SONDAGENS</t>
  </si>
  <si>
    <t>INST. ELÉT./TELEFÔNICA/CABEAMENTO ESTRUTURADO</t>
  </si>
  <si>
    <t>INSTALAÇÕES HIDRO-SANITÁRIAS</t>
  </si>
  <si>
    <t>IMPERMEABILIZAÇÃO</t>
  </si>
  <si>
    <t>ESTRUTURAS METÁLICAS</t>
  </si>
  <si>
    <t>A</t>
  </si>
  <si>
    <t>B</t>
  </si>
  <si>
    <t>C</t>
  </si>
  <si>
    <t>ESTRUTURAS DE MADEIRA</t>
  </si>
  <si>
    <t>COMPOSIÇÃO BDI (BENEFÍCIOS E DISPESAS INDIRETAS)</t>
  </si>
  <si>
    <t>DURAÇÃO</t>
  </si>
  <si>
    <t>1º MÊS</t>
  </si>
  <si>
    <t>2º MÊS</t>
  </si>
  <si>
    <t>3º MÊS</t>
  </si>
  <si>
    <t>4º MÊS</t>
  </si>
  <si>
    <t>5º MÊS</t>
  </si>
  <si>
    <t>Total</t>
  </si>
  <si>
    <t>CRONOGRAMA FÍSICO E FINANCEIRO</t>
  </si>
  <si>
    <t>BDI (23,88 %)</t>
  </si>
  <si>
    <t xml:space="preserve">CENTRO DE ATENDIMENTO MÉDICO </t>
  </si>
  <si>
    <t>URBANIZAÇÃO DA REPRESA DA BICA</t>
  </si>
  <si>
    <t>REPRESA DA BICA</t>
  </si>
  <si>
    <t>TABELA GOINFRA 148 - CUSTOS DE OBRAS CIVIS - NOVEMBRO/2020 - DESONERADA - DATA BASE: 30/06/2021</t>
  </si>
  <si>
    <t>CORTE/DESTOC./RETIRADA/REATERRO (MANUAIS) DE ÁRVORE GRANDE PORTE ( H = 8 A 10M / DIÂMETRO TRONCO 60 A 70CM E COPA DE 10 A 13M ) C/TRANSP.ATE CB. E CARGA</t>
  </si>
  <si>
    <t xml:space="preserve">Un </t>
  </si>
  <si>
    <t xml:space="preserve">CONSUMO DE ÁGUA </t>
  </si>
  <si>
    <t xml:space="preserve">CONSUMO DE ENERGIA ELÉTRICA </t>
  </si>
  <si>
    <t xml:space="preserve">KWH </t>
  </si>
  <si>
    <t>1.1</t>
  </si>
  <si>
    <t>1.2</t>
  </si>
  <si>
    <t>1.3</t>
  </si>
  <si>
    <t>1.4</t>
  </si>
  <si>
    <t>1.5</t>
  </si>
  <si>
    <t>1.6</t>
  </si>
  <si>
    <t xml:space="preserve">Quantidade de árvores de grande porte </t>
  </si>
  <si>
    <t>Área</t>
  </si>
  <si>
    <t>Passeio externo</t>
  </si>
  <si>
    <t>Área de intervenção</t>
  </si>
  <si>
    <t>Área de virtual</t>
  </si>
  <si>
    <t>Consumo</t>
  </si>
  <si>
    <t>Total (B*C)</t>
  </si>
  <si>
    <t>LOCACAO DE CONTAINER 2,30 X 6,00 M, ALT. 2,50 M, COM 1 SANITARIO, PARA ESCRITORIO, COMPLETO, SEM DIVISORIAS INTERNAS</t>
  </si>
  <si>
    <t xml:space="preserve">MES </t>
  </si>
  <si>
    <t>SINAPI - I</t>
  </si>
  <si>
    <t>CAPINA - (OBRAS CIVIS)</t>
  </si>
  <si>
    <t xml:space="preserve">TRANSPORTE DE ENTULHO EM CAMINHÃO INCLUSO A CARGA MANUAL </t>
  </si>
  <si>
    <t xml:space="preserve">TRANSPORTE DE ENTULHO CAÇAMBA ESTACIONÁRIA SEM CARGA </t>
  </si>
  <si>
    <t>Volume</t>
  </si>
  <si>
    <t>Limpeza do terreno</t>
  </si>
  <si>
    <t xml:space="preserve">Porcentagem </t>
  </si>
  <si>
    <t>Total (A*B)</t>
  </si>
  <si>
    <t xml:space="preserve">ESCAVACAO MANUAL DE VALAS &lt; 1 MTS. (OBRAS CIVIS) </t>
  </si>
  <si>
    <t xml:space="preserve">APILOAMENTO MECÂNICO </t>
  </si>
  <si>
    <t xml:space="preserve">ESCAVACAO MECANICA </t>
  </si>
  <si>
    <t xml:space="preserve">CARGA MECANIZADA </t>
  </si>
  <si>
    <t>3.1</t>
  </si>
  <si>
    <t>3.2</t>
  </si>
  <si>
    <t>3.3</t>
  </si>
  <si>
    <t>3.4</t>
  </si>
  <si>
    <t>3.5</t>
  </si>
  <si>
    <t xml:space="preserve">ESTACA A TRADO DIAM.25 CM SEM FERRO </t>
  </si>
  <si>
    <t xml:space="preserve">M </t>
  </si>
  <si>
    <t xml:space="preserve">ESCAVACAO MANUAL DE VALAS (SAPATAS/BLOCOS) </t>
  </si>
  <si>
    <t xml:space="preserve">APILOAMENTO (BLOCOS/SAPATAS) </t>
  </si>
  <si>
    <t xml:space="preserve">PREPARO COM BETONEIRA E TRANSPORTE MANUAL DE CONCRETO FCK=25 MPA </t>
  </si>
  <si>
    <t xml:space="preserve">LANÇAMENTO/APLICAÇÃO/ADENSAMENTO MANUAL DE CONCRETO - (O.C.) </t>
  </si>
  <si>
    <t xml:space="preserve">ACO CA-50A - 6,3 MM (1/4") - (OBRAS CIVIS) </t>
  </si>
  <si>
    <t xml:space="preserve">Kg </t>
  </si>
  <si>
    <t xml:space="preserve">2,05 </t>
  </si>
  <si>
    <t xml:space="preserve">ACO CA 50-A - 8,0 MM (5/16") - (OBRAS CIVIS) </t>
  </si>
  <si>
    <t>4.1</t>
  </si>
  <si>
    <t>4.2</t>
  </si>
  <si>
    <t>4.3</t>
  </si>
  <si>
    <t>4.4</t>
  </si>
  <si>
    <t>4.5</t>
  </si>
  <si>
    <t>4.6</t>
  </si>
  <si>
    <t>4.7</t>
  </si>
  <si>
    <t>5.1</t>
  </si>
  <si>
    <t xml:space="preserve">Pergolado 02 </t>
  </si>
  <si>
    <t xml:space="preserve">Comprimento </t>
  </si>
  <si>
    <t>Quantidade de estacas</t>
  </si>
  <si>
    <t>Profundidade</t>
  </si>
  <si>
    <t xml:space="preserve">Pergolado 01 </t>
  </si>
  <si>
    <t>Quantidade de blocos</t>
  </si>
  <si>
    <t>Quantidade de pergolados</t>
  </si>
  <si>
    <t>Volume do bloco</t>
  </si>
  <si>
    <t>Subtotal</t>
  </si>
  <si>
    <t>Área do bloco</t>
  </si>
  <si>
    <t>m</t>
  </si>
  <si>
    <t>Peso</t>
  </si>
  <si>
    <t>Comprimento por estacas</t>
  </si>
  <si>
    <t>Massa linear (Kg/m)</t>
  </si>
  <si>
    <t>(Kg/m)</t>
  </si>
  <si>
    <t xml:space="preserve">CAIXA DE PASSAGEM - TAMPA EM CONCRETO ARMADO 25 MPA E=5CM </t>
  </si>
  <si>
    <t xml:space="preserve">84,72 </t>
  </si>
  <si>
    <t xml:space="preserve">13,01 </t>
  </si>
  <si>
    <t xml:space="preserve">CAIXA DE PASSAGEM 20X20X25CM FUNDO BRITA SEM TAMPA </t>
  </si>
  <si>
    <t xml:space="preserve">20,39 </t>
  </si>
  <si>
    <t>26,33</t>
  </si>
  <si>
    <t>9,48</t>
  </si>
  <si>
    <t xml:space="preserve">ELETRODUTO PVC FLEXÍVEL - MANGUEIRA CORRUGADA REFORÇADA - DIAM. 40MM </t>
  </si>
  <si>
    <t xml:space="preserve">2,12 </t>
  </si>
  <si>
    <t>5,12</t>
  </si>
  <si>
    <t xml:space="preserve">ELETRODUTO PVC FLEXÍVEL - MANGUEIRA CORRUGADA REFORÇADA - DIAM. 50MM </t>
  </si>
  <si>
    <t xml:space="preserve">2,57 </t>
  </si>
  <si>
    <t xml:space="preserve">ELETRODUTO PVC FLEXÍVEL - MANGUEIRA CORRUGADA REFORÇADA - DIAM. 75MM </t>
  </si>
  <si>
    <t xml:space="preserve">5,94 </t>
  </si>
  <si>
    <t>20,49</t>
  </si>
  <si>
    <t xml:space="preserve">CABO EPR/XLPE (90°C) 1KV - 10MM2 </t>
  </si>
  <si>
    <t xml:space="preserve">5,84 </t>
  </si>
  <si>
    <t xml:space="preserve">1,79 </t>
  </si>
  <si>
    <t xml:space="preserve">CABO EPR/XLPE (90°C) 1 KV - 16 MM2 </t>
  </si>
  <si>
    <t xml:space="preserve">9,38 </t>
  </si>
  <si>
    <t xml:space="preserve">CABO EPR/XLPE (90°C) 1 KV - 25 MM2 </t>
  </si>
  <si>
    <t xml:space="preserve">14,48 </t>
  </si>
  <si>
    <t>2,18</t>
  </si>
  <si>
    <t xml:space="preserve">FIO ISOLADO PVC 750 V, No. 2,5 MM2 </t>
  </si>
  <si>
    <t xml:space="preserve">2,60 </t>
  </si>
  <si>
    <t>1,41</t>
  </si>
  <si>
    <t xml:space="preserve">FIO ISOLADO PVC 750 V, No. 4 MM2 </t>
  </si>
  <si>
    <t xml:space="preserve">4,46 </t>
  </si>
  <si>
    <t>1,54</t>
  </si>
  <si>
    <t xml:space="preserve">FIO ISOLADO PVC 750 V, No. 6 MM2 </t>
  </si>
  <si>
    <t xml:space="preserve">6,16 </t>
  </si>
  <si>
    <t>1,67</t>
  </si>
  <si>
    <t xml:space="preserve">HASTE REV.COBRE(COPPERWELD) 5/8" X 3,00 M C/CONECTOR </t>
  </si>
  <si>
    <t xml:space="preserve">62,86 </t>
  </si>
  <si>
    <t>10,25</t>
  </si>
  <si>
    <t xml:space="preserve">PADRÃO TRIFASICO 35 MM H=7 METROS </t>
  </si>
  <si>
    <t xml:space="preserve">2.167,13 </t>
  </si>
  <si>
    <t>58,98</t>
  </si>
  <si>
    <t xml:space="preserve">1.461,73 </t>
  </si>
  <si>
    <t>15,21</t>
  </si>
  <si>
    <t xml:space="preserve">RELE FOTO ELETRICO COM BASE </t>
  </si>
  <si>
    <t xml:space="preserve">35,19 </t>
  </si>
  <si>
    <t>25,61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</si>
  <si>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</si>
  <si>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</si>
  <si>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</si>
  <si>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</si>
  <si>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</si>
  <si>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</si>
  <si>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</si>
  <si>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</si>
  <si>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</si>
  <si>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</si>
  <si>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</si>
  <si>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</si>
  <si>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</si>
  <si>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</si>
  <si>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</si>
  <si>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</si>
  <si>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 xml:space="preserve">Banco de descanso </t>
  </si>
  <si>
    <t xml:space="preserve">Quantidade de bancos </t>
  </si>
  <si>
    <t xml:space="preserve">Comprimento por banco </t>
  </si>
  <si>
    <t>Banco floreira</t>
  </si>
  <si>
    <t>D</t>
  </si>
  <si>
    <t>Total (A+B+C)*D</t>
  </si>
  <si>
    <t xml:space="preserve"> LUMINARIA LED REFLETOR RETANGULAR BIVOLT, LUZ BRANCA, 10 W UN </t>
  </si>
  <si>
    <t>6.17</t>
  </si>
  <si>
    <t>6.18</t>
  </si>
  <si>
    <t xml:space="preserve">LUMINARIA LED REFLETOR RETANGULAR BIVOLT, LUZ BRANCA, 50 W UN  </t>
  </si>
  <si>
    <t>LUMINÁRIA DE LED PARA ILUMINAÇÃO PÚBLICA, DE 98 W ATÉ 137 W - FORNECIMENTO E INSTALAÇÃO. AF_08/2020</t>
  </si>
  <si>
    <t xml:space="preserve"> UN </t>
  </si>
  <si>
    <t xml:space="preserve">SUPORTE PARA 4 PÉTALAS PARA LUMINÁRIA DE ILUMINAÇÃO PÚBLICA </t>
  </si>
  <si>
    <t>6.19</t>
  </si>
  <si>
    <t>5.2</t>
  </si>
  <si>
    <t>5.3</t>
  </si>
  <si>
    <t>5.4</t>
  </si>
  <si>
    <t>5.5</t>
  </si>
  <si>
    <t xml:space="preserve">ACO CA-50-A - 6,3 MM (1/4") - (OBRAS CIVIS) </t>
  </si>
  <si>
    <t xml:space="preserve">ACO CA-50 A - 8,0 MM (5/16") - (OBRAS CIVIS) </t>
  </si>
  <si>
    <t>5.6</t>
  </si>
  <si>
    <t>5.7</t>
  </si>
  <si>
    <t xml:space="preserve">LANÇAMENTO/APLICAÇÃO/ADENSAMENTO MANUAL DE CONCRETO - (OBRAS CIVIS) </t>
  </si>
  <si>
    <t>Total A*B</t>
  </si>
  <si>
    <t>TELA DE ACO SOLDADA NERVURADA, CA-60, Q-196, (3,11 KG/M2), DIAMETRO DO FIO = 5,0 MM, LARGURA = 2,45 M, ESPACAMENTO DA MALHA = 10 X 10 CM</t>
  </si>
  <si>
    <t xml:space="preserve">M2 </t>
  </si>
  <si>
    <t xml:space="preserve">Áreade tela por banco </t>
  </si>
  <si>
    <t>Lateral do deck</t>
  </si>
  <si>
    <t xml:space="preserve">Fundo do deck </t>
  </si>
  <si>
    <t>Área de forma por banco</t>
  </si>
  <si>
    <t>Quantidade de pilares por pergolado</t>
  </si>
  <si>
    <t>Área de forma por por pergolado</t>
  </si>
  <si>
    <t>Total A+B+C</t>
  </si>
  <si>
    <t xml:space="preserve">Cosumo </t>
  </si>
  <si>
    <t>m³/m²</t>
  </si>
  <si>
    <t>Kwh/m²</t>
  </si>
  <si>
    <t>%</t>
  </si>
  <si>
    <t>Volume de concreto por banco</t>
  </si>
  <si>
    <t>Volume de concreto por pilar</t>
  </si>
  <si>
    <t>Comprimento por pergolado</t>
  </si>
  <si>
    <t xml:space="preserve">COTAÇÃO </t>
  </si>
  <si>
    <t>POSTE ORNAMENTAL COM LUMINÁRIA DE LED</t>
  </si>
  <si>
    <t>6.20</t>
  </si>
  <si>
    <t>ALVENARIA AUTO-PORTANTE</t>
  </si>
  <si>
    <t xml:space="preserve">SINAPI </t>
  </si>
  <si>
    <t xml:space="preserve">Área  de canaleta por banco </t>
  </si>
  <si>
    <t>9.1</t>
  </si>
  <si>
    <t>9.2</t>
  </si>
  <si>
    <t xml:space="preserve">Banco floreira </t>
  </si>
  <si>
    <t xml:space="preserve">IMPERMEABILIZACAO-JARDINEIRA C/MANTA ANTI-RAIZ (COMPLETA) </t>
  </si>
  <si>
    <t xml:space="preserve">IMPERMEABILIZAÇÃO MURO DE ARRIMO COM 4 DEMÃOS DE EMULSÃO ASFÁLTICA </t>
  </si>
  <si>
    <t>10.1</t>
  </si>
  <si>
    <t>10.2</t>
  </si>
  <si>
    <t xml:space="preserve">Área de impermeabilização por por banco </t>
  </si>
  <si>
    <t xml:space="preserve">Duas faces </t>
  </si>
  <si>
    <t>VIGOTA DE MADEIRA 6x16</t>
  </si>
  <si>
    <t xml:space="preserve"> m </t>
  </si>
  <si>
    <t>11.1</t>
  </si>
  <si>
    <t>GOINFRA - I</t>
  </si>
  <si>
    <t xml:space="preserve"> PILAR QUADRADO NAO APARELHADO *15 X 15* CM, EM MACARANDUBA, ANGELIM OU EQUIVALENTE DA REGIAO - BRUTA</t>
  </si>
  <si>
    <t>11.2</t>
  </si>
  <si>
    <t>Comprimento</t>
  </si>
  <si>
    <t>Pergolado 01</t>
  </si>
  <si>
    <t xml:space="preserve">Comprimento de vigota por pergolado </t>
  </si>
  <si>
    <t>Quantide de pilares por pergolado</t>
  </si>
  <si>
    <t xml:space="preserve">Comprimento do pilar </t>
  </si>
  <si>
    <t>ESTRUTURA METÁLICA CONVENCIONAL EM AÇO DO TIPO MR-250 / ASTM A36 COM FUNDO ANTICORROSIVO</t>
  </si>
  <si>
    <t>12.1</t>
  </si>
  <si>
    <t>Pergolado 02 (Perfil enrijecido 200x80x3,75)</t>
  </si>
  <si>
    <t>Vigas superiores</t>
  </si>
  <si>
    <t xml:space="preserve">Quantidade </t>
  </si>
  <si>
    <t xml:space="preserve">Comprimento por viga </t>
  </si>
  <si>
    <t>Vigas transversais</t>
  </si>
  <si>
    <t>Vigas detalhes</t>
  </si>
  <si>
    <t xml:space="preserve">Peso especifico do perfil </t>
  </si>
  <si>
    <t>kg/m</t>
  </si>
  <si>
    <t xml:space="preserve">Peso </t>
  </si>
  <si>
    <t xml:space="preserve">CHAPISCO COMUM </t>
  </si>
  <si>
    <t xml:space="preserve">REBOCO (1 CALH:4 ARFC+100kgCI/M3) </t>
  </si>
  <si>
    <t>17.1</t>
  </si>
  <si>
    <t>17.2</t>
  </si>
  <si>
    <t>Muro de arrimo</t>
  </si>
  <si>
    <t>Banco descanso</t>
  </si>
  <si>
    <t>PASSEIO PROTECAO EM CONC.DESEMPEN.5 CM 1:2,5:3,5 ( INCLUSO ESPELHO DE 30CM/ESCAVAÇÃO/REATERRO/APILOAMENTO/ATERRO INTERNO)</t>
  </si>
  <si>
    <t xml:space="preserve">PISO CONCRETO DESEMPENADO ESPESSURA = 5 CM 1:2,5:3,5 </t>
  </si>
  <si>
    <t xml:space="preserve">COMPOSIÇÃO </t>
  </si>
  <si>
    <t>19.1</t>
  </si>
  <si>
    <t>19.2</t>
  </si>
  <si>
    <t>19.3</t>
  </si>
  <si>
    <t>19.4</t>
  </si>
  <si>
    <t>19.5</t>
  </si>
  <si>
    <t xml:space="preserve">REVESTIMENTO COM PLACA CIMENTÍCIA </t>
  </si>
  <si>
    <t>EQ. SALARIAL</t>
  </si>
  <si>
    <t>SAL/HORA</t>
  </si>
  <si>
    <t>ENCARGOS (%)</t>
  </si>
  <si>
    <t>CONSUMO</t>
  </si>
  <si>
    <t>CUSTO HORÁRIO</t>
  </si>
  <si>
    <t>SERVENTE</t>
  </si>
  <si>
    <t xml:space="preserve">AZULEJISTA </t>
  </si>
  <si>
    <t>SUBTOTAL</t>
  </si>
  <si>
    <t>MATERIAIS</t>
  </si>
  <si>
    <t>UNIDADE</t>
  </si>
  <si>
    <t>VALOR UNITÁRIO</t>
  </si>
  <si>
    <t>VALOR TOTAL</t>
  </si>
  <si>
    <t>2.3</t>
  </si>
  <si>
    <t xml:space="preserve">ARGAMASSA DE CIMENTO COLANTE </t>
  </si>
  <si>
    <t>Kg</t>
  </si>
  <si>
    <t>2.4</t>
  </si>
  <si>
    <t xml:space="preserve">ARGAMASSA DE REJUNTAMENTO </t>
  </si>
  <si>
    <t>2.5</t>
  </si>
  <si>
    <t>REVESTIMENTO  DE PLACA CIMENTICIA 20X100 CM</t>
  </si>
  <si>
    <t>TOTAL</t>
  </si>
  <si>
    <t xml:space="preserve">COMP. 01 </t>
  </si>
  <si>
    <t>PREFEITURA MUNICIPAL DE CATALÃO</t>
  </si>
  <si>
    <t>RELATÓRIO DE COMPOSIÇÃO</t>
  </si>
  <si>
    <t xml:space="preserve">ARRUELA LISA D=5/16" </t>
  </si>
  <si>
    <t xml:space="preserve">un </t>
  </si>
  <si>
    <t xml:space="preserve">PORCA SEXTAVADA D = 5/16" </t>
  </si>
  <si>
    <t>PARAFUSO ZINCADO ROSCA SOBERBA, CABECA SEXTAVADA, 5/16 " X 250 MM, PARA FIXACAO DE TELHA EM MADEIRA</t>
  </si>
  <si>
    <t>GOINFRA-I</t>
  </si>
  <si>
    <t>SINAPI-I</t>
  </si>
  <si>
    <t xml:space="preserve">ENGENHEIRO - (OBRAS CIVIS) </t>
  </si>
  <si>
    <t xml:space="preserve">H </t>
  </si>
  <si>
    <t xml:space="preserve">MESTRE DE OBRA - (OBRAS CIVIS) </t>
  </si>
  <si>
    <t>Horas trabalhadas</t>
  </si>
  <si>
    <t xml:space="preserve">PINTURA VERNIZ EM MADEIRA 2 DEMAOS </t>
  </si>
  <si>
    <t xml:space="preserve">PINTURA C/VERNIZ ACRILICO-02 DEMAOS </t>
  </si>
  <si>
    <t xml:space="preserve">PINTURA ESMALTE ALQUIDICO ESTR.METALICA 2 DEMAOS </t>
  </si>
  <si>
    <t xml:space="preserve">PINT.POLIESPORTIVA - 2 DEM.(PISOS E CIMENTADOS) </t>
  </si>
  <si>
    <t xml:space="preserve">PLANTIO GRAMA BATATAIS PLACA C/ M.O. IRRIG.ADUBO,TER.VEG.(OC) A&lt;11.000M2 </t>
  </si>
  <si>
    <t xml:space="preserve">PLACA DE INAUGURACAO ACO ESCOVADO 80 X 60 CM </t>
  </si>
  <si>
    <t xml:space="preserve">CONJUNTO PARA VOLEIBOL EM FERRO GALVANIZADO COM PINTURA (2 SUPORTES) </t>
  </si>
  <si>
    <t xml:space="preserve">CJ </t>
  </si>
  <si>
    <t>BANCO DE CONCRETO POLIDO BASE EM ALVENARIA REBOCADA E PINTADA - PADRÃO GOINFRA</t>
  </si>
  <si>
    <t xml:space="preserve">m </t>
  </si>
  <si>
    <t xml:space="preserve">Horas por dia </t>
  </si>
  <si>
    <t>Dias trabalhados</t>
  </si>
  <si>
    <t>H/dia</t>
  </si>
  <si>
    <t>dia</t>
  </si>
  <si>
    <t xml:space="preserve">Seção das vigotas </t>
  </si>
  <si>
    <t xml:space="preserve">Seção das vigas </t>
  </si>
  <si>
    <t>Área de pintura por pilar</t>
  </si>
  <si>
    <t>Área de pintura por banco</t>
  </si>
  <si>
    <t xml:space="preserve">Viga baldrame - Quadra de areia </t>
  </si>
  <si>
    <t xml:space="preserve">Volume </t>
  </si>
  <si>
    <t xml:space="preserve">Seção </t>
  </si>
  <si>
    <t xml:space="preserve">Quantidade de quadras de areia </t>
  </si>
  <si>
    <t xml:space="preserve">Área das quadras de areia </t>
  </si>
  <si>
    <t xml:space="preserve">Quadra de areia </t>
  </si>
  <si>
    <t>Espessura</t>
  </si>
  <si>
    <t>5.8</t>
  </si>
  <si>
    <t xml:space="preserve">FORMA DE TABUA CINTA BALDRAME U=8 VEZES </t>
  </si>
  <si>
    <t>3.6</t>
  </si>
  <si>
    <t>Comprimento por viga baldrame</t>
  </si>
  <si>
    <t>E</t>
  </si>
  <si>
    <t>Total (A+B+C+D)*E</t>
  </si>
  <si>
    <t xml:space="preserve">Pilares - Quadra de areia </t>
  </si>
  <si>
    <t>Comprimento do aço dos pilares</t>
  </si>
  <si>
    <t>Comprimento do aço das vigas baldrames</t>
  </si>
  <si>
    <t>Total A+B+C+D</t>
  </si>
  <si>
    <t>Volume das vigas baldrames</t>
  </si>
  <si>
    <t>Volume dos pilares</t>
  </si>
  <si>
    <t xml:space="preserve">AREIA FINA </t>
  </si>
  <si>
    <t>4.8</t>
  </si>
  <si>
    <t xml:space="preserve">Área </t>
  </si>
  <si>
    <t>3.7</t>
  </si>
  <si>
    <t xml:space="preserve">COMPACTAÇÃO MECÂNICA SEM CONTROLE LABORATÓRIO </t>
  </si>
  <si>
    <t xml:space="preserve">M3 </t>
  </si>
  <si>
    <t xml:space="preserve">ARGILA OU BARRO PARA ATERRO/REATERRO (COM TRANSPORTE ATE 10 KM) </t>
  </si>
  <si>
    <t>Volume de aterro para deck</t>
  </si>
  <si>
    <t xml:space="preserve">Empolamento </t>
  </si>
  <si>
    <t xml:space="preserve"> ALVENARIAS E DIVISORIAS</t>
  </si>
  <si>
    <t>ALVENARIA DE TIJOLO FURADO 1/2 VEZ 14X29X9 - 6 FUROS - ARG. (1CALH:4ARML+100KGDE CI/M3)</t>
  </si>
  <si>
    <t>Mureta da quadra</t>
  </si>
  <si>
    <t xml:space="preserve">Quantidade de quadras </t>
  </si>
  <si>
    <t>Comprimento total de mureta por quadra</t>
  </si>
  <si>
    <t xml:space="preserve">Altura da mureta </t>
  </si>
  <si>
    <t>10.3</t>
  </si>
  <si>
    <t>m3</t>
  </si>
  <si>
    <t xml:space="preserve">IMPERMEABILIZACAO VIGAS BALDRAMES E=2,0 CM </t>
  </si>
  <si>
    <t xml:space="preserve">Comprimento da baldrame </t>
  </si>
  <si>
    <t>Faces a impermeabilizar</t>
  </si>
  <si>
    <t>PLANTIO GRAMA ESMERALDA PLACA C/ M.O. IRRIG., ADUBO,TERRA VEGETAL (O.C.) A&lt;11.000,00M2</t>
  </si>
  <si>
    <t>Quantidade de quadras de areia</t>
  </si>
  <si>
    <t>Placa de inauguração</t>
  </si>
  <si>
    <t>cj.</t>
  </si>
  <si>
    <t>Quantidade de bancos padrão GOINFRA</t>
  </si>
  <si>
    <t xml:space="preserve">Comprimento dos bancos </t>
  </si>
  <si>
    <t>Área total</t>
  </si>
  <si>
    <t>Calçadas externas</t>
  </si>
  <si>
    <t>Calçadas internas (cinza)</t>
  </si>
  <si>
    <t>Calçadas internas (amarelo)</t>
  </si>
  <si>
    <t>Total = (A + B)</t>
  </si>
  <si>
    <t>LASTRO DE BRITA PARA PISO - (OBRAS CIVIS)</t>
  </si>
  <si>
    <t>PISO DE LADRILHO HIDRÁULICO COLORIDO MODELO TÁTIL ( ALERTA OU DIRECIONAL) SEM LASTRO</t>
  </si>
  <si>
    <t xml:space="preserve">COMP. </t>
  </si>
  <si>
    <t>Quantidade de rampas de acesso</t>
  </si>
  <si>
    <t>Área de piso tátil por rampa de acesso</t>
  </si>
  <si>
    <t xml:space="preserve">Área do deck </t>
  </si>
  <si>
    <t>LIMPEZA FINAL DE OBRA - (OBRAS CIVIS)</t>
  </si>
  <si>
    <t>OBELISCO PARA PLACA DE INAUGURAÇÃO - PADRÃO GOINFRA</t>
  </si>
  <si>
    <t>PLANTIO DE PALMEIRA COM ALTURA DE MUDA MENOR OU IGUAL A 2,00 M. AF_05/2018</t>
  </si>
  <si>
    <t>SIURB</t>
  </si>
  <si>
    <t>IPOMEIA - H=1,00/1,50 M - (IPOMOEA LEARII) TREPADEIRA</t>
  </si>
  <si>
    <t>TUMBERGIA - H=0,50/0,70 M - (THUNBERGIA GRANDIFLORA) TREPADEIRA</t>
  </si>
  <si>
    <t xml:space="preserve">MUDA DE ARBUSTO, BUXINHO, H= *50* M </t>
  </si>
  <si>
    <t>Área virtual</t>
  </si>
  <si>
    <t>Grama esmeralda</t>
  </si>
  <si>
    <t>Palmeira das floreiras</t>
  </si>
  <si>
    <t>Pergolados 01</t>
  </si>
  <si>
    <t>Pergolados 02</t>
  </si>
  <si>
    <t>Ipes</t>
  </si>
  <si>
    <t>Áreas de pequinique</t>
  </si>
  <si>
    <t>Margem da represa</t>
  </si>
  <si>
    <t>REGULARIZAÇÃO DO TERRENO SEM APILOAMENTO COM TRANSPORTE MANUAL DA TERRA ESCAVADA</t>
  </si>
  <si>
    <t>LOCAÇÃO DE PRAÇA, QUADRA, IMPLANTAÇÃO UTILIZANDO CAVALETE, INCLUSO PIQUETE COM TESTEMUNHA</t>
  </si>
  <si>
    <t>GRADE DE FRENTE/FERRO REDONDO COM ESTACA D=25CM ARMADA - GF-1</t>
  </si>
  <si>
    <t xml:space="preserve"> m2 </t>
  </si>
  <si>
    <t xml:space="preserve">GUARDA BICICLETAS </t>
  </si>
  <si>
    <t>12.2</t>
  </si>
  <si>
    <t>ESQUADRIAS METÁLICAS - ( OBS.: 1- OS VIDROS NÃO ESTÃO INCLUSOS NAS ESQUADRIAS; 2- JÁ ESTÁ CONSIDERADO NO CUSTO DAS ESQUADRIAS DE ALUMÍNIO O CONTRAMARCO )</t>
  </si>
  <si>
    <t>Deck</t>
  </si>
  <si>
    <t>Rampa</t>
  </si>
  <si>
    <t xml:space="preserve">Guarda bicicleta </t>
  </si>
  <si>
    <t>Deck - duas faces</t>
  </si>
  <si>
    <t>Rampa - duas faces</t>
  </si>
  <si>
    <t>Guarda bicicleta  - duas faces</t>
  </si>
  <si>
    <t xml:space="preserve">TORNEIRA DE JARDIM COM BICO PARA MANGUEIRA DIÂMETRO DE 1/2" E 3/4" </t>
  </si>
  <si>
    <t xml:space="preserve">TUBO SOLDAVEL PVC MARROM DIAMETRO 25 mm </t>
  </si>
  <si>
    <t xml:space="preserve">JOELHO 90 GRAUS SOLDAVEL DIAMETRO 25 MM </t>
  </si>
  <si>
    <t xml:space="preserve">TE 90 GRAUS SOLDAVEL DIAMETRO 25 mm </t>
  </si>
  <si>
    <t xml:space="preserve">UNIAO SOLDAVEL DIAMETRO 25 mm </t>
  </si>
  <si>
    <t xml:space="preserve">HIDROMETRO DIAM.RAMAL = 25 MM VAZAO =1,5 A 3 M3 </t>
  </si>
  <si>
    <t>7.1</t>
  </si>
  <si>
    <t>7.2</t>
  </si>
  <si>
    <t>7.3</t>
  </si>
  <si>
    <t>7.4</t>
  </si>
  <si>
    <t>7.5</t>
  </si>
  <si>
    <t>7.6</t>
  </si>
  <si>
    <t xml:space="preserve">MEIO FIO COM SARJETA - MFU02 </t>
  </si>
  <si>
    <t>Meio fio da calçada externa</t>
  </si>
  <si>
    <t>GOINFRA - RO</t>
  </si>
  <si>
    <t>und</t>
  </si>
  <si>
    <t>SERVIÇO</t>
  </si>
  <si>
    <t>MATERIAL</t>
  </si>
  <si>
    <t>POSTE SIMPLES CÔNICO CONTÍNUO, CIRCULAR, RETO, COM DIÂMETRO NOMINAL DE 60MM
NA EXTREMIDADE, GALVANIZADO A FOGO, Hútil=10 M - ENGASTADO EM CONCRETO COM
FCK = 13,5 MPA</t>
  </si>
  <si>
    <t>UND</t>
  </si>
  <si>
    <t xml:space="preserve">BRAÇO TIPO ASA DUPLA </t>
  </si>
  <si>
    <t>8.1</t>
  </si>
  <si>
    <t>13.1</t>
  </si>
  <si>
    <t>14.1</t>
  </si>
  <si>
    <t>14.2</t>
  </si>
  <si>
    <t>15.1</t>
  </si>
  <si>
    <t>15.2</t>
  </si>
  <si>
    <t>15.3</t>
  </si>
  <si>
    <t>15.4</t>
  </si>
  <si>
    <t>15.5</t>
  </si>
  <si>
    <t>16.1</t>
  </si>
  <si>
    <t>16.2</t>
  </si>
  <si>
    <t>16.3</t>
  </si>
  <si>
    <t>18.1</t>
  </si>
  <si>
    <t>18.2</t>
  </si>
  <si>
    <t>18.3</t>
  </si>
  <si>
    <t>18.4</t>
  </si>
  <si>
    <t>18.5</t>
  </si>
  <si>
    <t>18.6</t>
  </si>
  <si>
    <t>19.6</t>
  </si>
  <si>
    <t>19.7</t>
  </si>
  <si>
    <t>19.8</t>
  </si>
  <si>
    <t>19.9</t>
  </si>
  <si>
    <t>19.10</t>
  </si>
  <si>
    <t>19.11</t>
  </si>
  <si>
    <t>19.12</t>
  </si>
  <si>
    <t>19.13</t>
  </si>
  <si>
    <t xml:space="preserve">PINTURA LATEX ACRILICO 2 DEMAOS </t>
  </si>
  <si>
    <t xml:space="preserve"> EMASSAMENTO ACRÍLICO 1 DEMÃO EM PAREDE</t>
  </si>
  <si>
    <t>ALVENARIA DE VEDAÇÃO DE BLOCOS VAZADOS DE CONCRETO DE 14X19X39CM (ESPESSURA 14CM) DE PAREDES COM ÁREA LÍQUIDA MENOR QUE 6M² SEM VÃOS E ARGAMASSA DE ASSENTAMENTO COM PREPARO EM BETONEIRA. AF_06/2014</t>
  </si>
  <si>
    <t>POSTE SIMPLES CÔNICO CONTÍNUO, CIRCULAR, RETO, COM DIÂMETRO NOMINAL DE 60MM NA EXTREMIDADE, GALVANIZADO A FOGO, Hútil= 7 M - ENGASTADO EM CONCRETO COM FCK = 13,5 MPA</t>
  </si>
  <si>
    <t>MURO ARRIMO PADRÃO GOINFRA EM CANALETA SEM REVESTIMENTO-(COM ALTURA ATÉ 2 ,50M)-INCLUSO FUNDAÇÃO</t>
  </si>
  <si>
    <t>Comprimento dos pilares</t>
  </si>
  <si>
    <t xml:space="preserve">B </t>
  </si>
  <si>
    <t>Bloco do letreiro</t>
  </si>
  <si>
    <t>Altura</t>
  </si>
  <si>
    <t>Seção</t>
  </si>
  <si>
    <t>Área da praça - deck</t>
  </si>
  <si>
    <t xml:space="preserve">Total </t>
  </si>
  <si>
    <t xml:space="preserve">FORMA - CH.COMPENSADA 17MM PLAST REAP 7 V. - (OBRAS CIVIS </t>
  </si>
  <si>
    <t>5.9</t>
  </si>
  <si>
    <t xml:space="preserve"> FORMA DE TABUA CINTA/PILAR SOBRE/ENTRE ALVENARIA U=8 VEZES </t>
  </si>
  <si>
    <t xml:space="preserve"> TABELA DE TERRAPLENAGEM, PAVIMENTAÇÃO E OBRAS DE ARTE ESPECIAIS - JUL/21 - COM DESONERAÇÃO - T152 DATA BASE: 30/06/2021</t>
  </si>
  <si>
    <t>TABELA SINAPI PCI.817.01 - CUSTO DE COMPOSIÇÕES - SINTÉTITICO - AGOSTO/2021 - COM DESONERAÇÃO - DATA BASE: 13/08/2021</t>
  </si>
  <si>
    <t>MUDA DE ARVORE ORNAMENTAL, OITI/AROEIRA SALSA/ANGICO/IPE/JACARANDA OU EQUIVALENTE DA REGIAO, H= *2* M</t>
  </si>
  <si>
    <t>CORTINA CANALETA CONCRETO 14X19X19 PARA SER CHEIA CONCRETO ARMADO (0,0568M3/M2) - EXCLUSO O CONCRETO</t>
  </si>
  <si>
    <t>Segunda -feira 13 de setembro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</si>
</sst>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000"/>
    <numFmt numFmtId="168" formatCode="[$-F800]dddd\,\ mmmm\ dd\,\ yyyy"/>
    <numFmt numFmtId="169" formatCode="0.0%"/>
    <numFmt numFmtId="170" formatCode="0.000%"/>
    <numFmt numFmtId="171" formatCode="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65" fontId="3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7">
    <xf numFmtId="0" fontId="0" fillId="0" borderId="0" xfId="0"/>
    <xf numFmtId="0" fontId="10" fillId="0" borderId="0" xfId="0" applyFont="1" applyBorder="1" applyAlignment="1" applyProtection="1">
      <alignment horizontal="left"/>
    </xf>
    <xf numFmtId="0" fontId="9" fillId="0" borderId="25" xfId="0" applyFont="1" applyBorder="1" applyAlignment="1" applyProtection="1"/>
    <xf numFmtId="0" fontId="9" fillId="2" borderId="54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/>
    <xf numFmtId="0" fontId="9" fillId="2" borderId="17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left" vertical="center" wrapText="1"/>
    </xf>
    <xf numFmtId="0" fontId="10" fillId="0" borderId="43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left" vertical="center"/>
    </xf>
    <xf numFmtId="2" fontId="10" fillId="0" borderId="43" xfId="0" applyNumberFormat="1" applyFont="1" applyBorder="1" applyAlignment="1" applyProtection="1">
      <alignment horizontal="center" vertical="center"/>
    </xf>
    <xf numFmtId="2" fontId="9" fillId="5" borderId="45" xfId="0" applyNumberFormat="1" applyFont="1" applyFill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vertical="center" wrapText="1"/>
    </xf>
    <xf numFmtId="2" fontId="9" fillId="0" borderId="50" xfId="0" applyNumberFormat="1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vertical="center" wrapText="1"/>
    </xf>
    <xf numFmtId="0" fontId="10" fillId="0" borderId="43" xfId="0" applyFont="1" applyBorder="1" applyAlignment="1" applyProtection="1">
      <alignment horizontal="center" vertical="center" wrapText="1"/>
    </xf>
    <xf numFmtId="2" fontId="10" fillId="0" borderId="43" xfId="0" applyNumberFormat="1" applyFont="1" applyBorder="1" applyAlignment="1" applyProtection="1">
      <alignment horizontal="center" vertical="center" wrapText="1"/>
    </xf>
    <xf numFmtId="0" fontId="10" fillId="0" borderId="58" xfId="0" applyFont="1" applyBorder="1" applyAlignment="1" applyProtection="1">
      <alignment vertical="center" wrapText="1"/>
    </xf>
    <xf numFmtId="167" fontId="10" fillId="0" borderId="53" xfId="0" applyNumberFormat="1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10" fillId="0" borderId="57" xfId="0" applyFont="1" applyBorder="1" applyAlignment="1" applyProtection="1">
      <alignment horizontal="center" vertical="center"/>
    </xf>
    <xf numFmtId="2" fontId="9" fillId="0" borderId="43" xfId="0" applyNumberFormat="1" applyFont="1" applyBorder="1" applyAlignment="1" applyProtection="1">
      <alignment horizontal="center" vertical="center" wrapText="1"/>
    </xf>
    <xf numFmtId="0" fontId="10" fillId="0" borderId="59" xfId="0" applyFont="1" applyBorder="1" applyAlignment="1" applyProtection="1">
      <alignment horizontal="center" vertical="center" wrapText="1"/>
    </xf>
    <xf numFmtId="2" fontId="10" fillId="0" borderId="53" xfId="0" applyNumberFormat="1" applyFont="1" applyBorder="1" applyAlignment="1" applyProtection="1">
      <alignment horizontal="center" vertical="center" wrapText="1"/>
    </xf>
    <xf numFmtId="0" fontId="11" fillId="3" borderId="43" xfId="0" applyFont="1" applyFill="1" applyBorder="1" applyAlignment="1" applyProtection="1">
      <alignment horizontal="center" vertical="center" wrapText="1"/>
    </xf>
    <xf numFmtId="2" fontId="10" fillId="3" borderId="43" xfId="0" applyNumberFormat="1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/>
    </xf>
    <xf numFmtId="0" fontId="9" fillId="3" borderId="43" xfId="0" applyFont="1" applyFill="1" applyBorder="1" applyAlignment="1" applyProtection="1">
      <alignment vertical="center" wrapText="1"/>
    </xf>
    <xf numFmtId="2" fontId="9" fillId="3" borderId="43" xfId="0" applyNumberFormat="1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 wrapText="1"/>
    </xf>
    <xf numFmtId="2" fontId="10" fillId="0" borderId="61" xfId="0" applyNumberFormat="1" applyFont="1" applyBorder="1" applyAlignment="1" applyProtection="1">
      <alignment horizontal="center" vertical="center" wrapText="1"/>
    </xf>
    <xf numFmtId="2" fontId="10" fillId="3" borderId="61" xfId="0" applyNumberFormat="1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2" fontId="10" fillId="0" borderId="57" xfId="0" applyNumberFormat="1" applyFont="1" applyBorder="1" applyAlignment="1" applyProtection="1">
      <alignment horizontal="center" vertical="center" wrapText="1"/>
    </xf>
    <xf numFmtId="2" fontId="10" fillId="3" borderId="53" xfId="0" applyNumberFormat="1" applyFont="1" applyFill="1" applyBorder="1" applyAlignment="1" applyProtection="1">
      <alignment horizontal="center" vertical="center" wrapText="1"/>
    </xf>
    <xf numFmtId="171" fontId="10" fillId="3" borderId="53" xfId="0" applyNumberFormat="1" applyFont="1" applyFill="1" applyBorder="1" applyAlignment="1" applyProtection="1">
      <alignment horizontal="center" vertical="center" wrapText="1"/>
    </xf>
    <xf numFmtId="2" fontId="9" fillId="3" borderId="53" xfId="0" applyNumberFormat="1" applyFont="1" applyFill="1" applyBorder="1" applyAlignment="1" applyProtection="1">
      <alignment horizontal="center" vertical="center" wrapText="1"/>
    </xf>
    <xf numFmtId="2" fontId="10" fillId="3" borderId="53" xfId="0" applyNumberFormat="1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/>
    <xf numFmtId="0" fontId="9" fillId="2" borderId="17" xfId="0" applyFont="1" applyFill="1" applyBorder="1" applyAlignment="1" applyProtection="1">
      <alignment horizontal="left" vertical="center"/>
    </xf>
    <xf numFmtId="2" fontId="9" fillId="0" borderId="53" xfId="0" applyNumberFormat="1" applyFont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vertical="center" wrapText="1"/>
    </xf>
    <xf numFmtId="2" fontId="9" fillId="0" borderId="53" xfId="0" applyNumberFormat="1" applyFont="1" applyFill="1" applyBorder="1" applyAlignment="1" applyProtection="1">
      <alignment horizontal="center" vertical="center" wrapText="1"/>
    </xf>
    <xf numFmtId="2" fontId="9" fillId="2" borderId="17" xfId="0" applyNumberFormat="1" applyFont="1" applyFill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vertical="center" wrapText="1"/>
    </xf>
    <xf numFmtId="0" fontId="9" fillId="0" borderId="57" xfId="0" applyFont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left" vertical="center" wrapText="1"/>
    </xf>
    <xf numFmtId="2" fontId="9" fillId="2" borderId="6" xfId="0" applyNumberFormat="1" applyFont="1" applyFill="1" applyBorder="1" applyAlignment="1" applyProtection="1">
      <alignment horizontal="center" vertical="center"/>
    </xf>
    <xf numFmtId="44" fontId="9" fillId="2" borderId="6" xfId="4" applyFont="1" applyFill="1" applyBorder="1" applyAlignment="1" applyProtection="1">
      <alignment horizontal="center" vertical="center"/>
    </xf>
    <xf numFmtId="44" fontId="9" fillId="2" borderId="6" xfId="4" applyNumberFormat="1" applyFont="1" applyFill="1" applyBorder="1" applyAlignment="1" applyProtection="1">
      <alignment horizontal="center" vertical="center"/>
    </xf>
    <xf numFmtId="0" fontId="9" fillId="5" borderId="51" xfId="0" applyFont="1" applyFill="1" applyBorder="1" applyAlignment="1" applyProtection="1">
      <alignment horizontal="center" vertical="center"/>
    </xf>
    <xf numFmtId="0" fontId="9" fillId="5" borderId="48" xfId="0" applyFont="1" applyFill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left" vertical="center" wrapText="1"/>
    </xf>
    <xf numFmtId="44" fontId="10" fillId="0" borderId="43" xfId="4" applyFont="1" applyBorder="1" applyAlignment="1" applyProtection="1">
      <alignment horizontal="center" vertical="center"/>
      <protection locked="0"/>
    </xf>
    <xf numFmtId="44" fontId="10" fillId="0" borderId="44" xfId="4" applyFont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left" vertical="center"/>
    </xf>
    <xf numFmtId="0" fontId="10" fillId="0" borderId="43" xfId="0" applyFont="1" applyBorder="1" applyAlignment="1" applyProtection="1">
      <alignment horizontal="left" vertical="center" wrapText="1"/>
    </xf>
    <xf numFmtId="44" fontId="9" fillId="4" borderId="35" xfId="0" applyNumberFormat="1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left" vertical="center"/>
    </xf>
    <xf numFmtId="44" fontId="9" fillId="2" borderId="32" xfId="4" applyFont="1" applyFill="1" applyBorder="1" applyAlignment="1" applyProtection="1">
      <alignment horizontal="center" vertical="center"/>
    </xf>
    <xf numFmtId="44" fontId="9" fillId="2" borderId="32" xfId="4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Alignment="1" applyProtection="1">
      <alignment horizontal="center" vertical="center"/>
    </xf>
    <xf numFmtId="44" fontId="9" fillId="4" borderId="18" xfId="0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left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44" fontId="12" fillId="0" borderId="43" xfId="4" applyFont="1" applyFill="1" applyBorder="1" applyAlignment="1" applyProtection="1">
      <alignment horizontal="center" vertical="center"/>
      <protection locked="0"/>
    </xf>
    <xf numFmtId="44" fontId="10" fillId="0" borderId="44" xfId="4" applyFont="1" applyFill="1" applyBorder="1" applyAlignment="1" applyProtection="1">
      <alignment horizontal="center" vertical="center"/>
    </xf>
    <xf numFmtId="44" fontId="10" fillId="0" borderId="43" xfId="4" applyFont="1" applyFill="1" applyBorder="1" applyAlignment="1" applyProtection="1">
      <alignment horizontal="center" vertical="center"/>
      <protection locked="0"/>
    </xf>
    <xf numFmtId="2" fontId="12" fillId="0" borderId="43" xfId="0" applyNumberFormat="1" applyFont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left" vertical="center"/>
    </xf>
    <xf numFmtId="44" fontId="9" fillId="2" borderId="17" xfId="4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center" vertical="center"/>
    </xf>
    <xf numFmtId="44" fontId="9" fillId="0" borderId="22" xfId="4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left" vertical="center" wrapText="1"/>
    </xf>
    <xf numFmtId="44" fontId="10" fillId="0" borderId="61" xfId="4" applyFont="1" applyBorder="1" applyAlignment="1" applyProtection="1">
      <alignment vertical="center"/>
      <protection locked="0"/>
    </xf>
    <xf numFmtId="0" fontId="10" fillId="0" borderId="53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left" vertical="center" wrapText="1"/>
    </xf>
    <xf numFmtId="2" fontId="10" fillId="0" borderId="53" xfId="0" applyNumberFormat="1" applyFont="1" applyBorder="1" applyAlignment="1" applyProtection="1">
      <alignment horizontal="center" vertical="center"/>
    </xf>
    <xf numFmtId="44" fontId="10" fillId="0" borderId="53" xfId="4" applyFont="1" applyBorder="1" applyAlignment="1" applyProtection="1">
      <alignment horizontal="center" vertical="center"/>
      <protection locked="0"/>
    </xf>
    <xf numFmtId="0" fontId="9" fillId="5" borderId="65" xfId="0" applyFont="1" applyFill="1" applyBorder="1" applyAlignment="1" applyProtection="1">
      <alignment vertical="center"/>
    </xf>
    <xf numFmtId="2" fontId="9" fillId="2" borderId="6" xfId="4" applyNumberFormat="1" applyFont="1" applyFill="1" applyBorder="1" applyAlignment="1" applyProtection="1">
      <alignment horizontal="center" vertical="center"/>
    </xf>
    <xf numFmtId="167" fontId="9" fillId="2" borderId="6" xfId="4" applyNumberFormat="1" applyFont="1" applyFill="1" applyBorder="1" applyAlignment="1" applyProtection="1">
      <alignment horizontal="center" vertical="center"/>
    </xf>
    <xf numFmtId="166" fontId="9" fillId="2" borderId="6" xfId="4" applyNumberFormat="1" applyFont="1" applyFill="1" applyBorder="1" applyAlignment="1" applyProtection="1">
      <alignment horizontal="center" vertical="center"/>
    </xf>
    <xf numFmtId="2" fontId="10" fillId="0" borderId="43" xfId="4" applyNumberFormat="1" applyFont="1" applyBorder="1" applyAlignment="1" applyProtection="1">
      <alignment horizontal="center" vertical="center"/>
      <protection locked="0"/>
    </xf>
    <xf numFmtId="166" fontId="10" fillId="0" borderId="44" xfId="4" applyNumberFormat="1" applyFont="1" applyBorder="1" applyAlignment="1" applyProtection="1">
      <alignment horizontal="center" vertical="center"/>
    </xf>
    <xf numFmtId="166" fontId="9" fillId="0" borderId="44" xfId="4" applyNumberFormat="1" applyFont="1" applyBorder="1" applyAlignment="1" applyProtection="1">
      <alignment horizontal="center" vertical="center"/>
    </xf>
    <xf numFmtId="171" fontId="10" fillId="0" borderId="43" xfId="0" applyNumberFormat="1" applyFont="1" applyBorder="1" applyAlignment="1" applyProtection="1">
      <alignment horizontal="center" vertical="center"/>
    </xf>
    <xf numFmtId="44" fontId="10" fillId="0" borderId="52" xfId="4" applyFont="1" applyBorder="1" applyAlignment="1" applyProtection="1">
      <alignment horizontal="center" vertical="center"/>
    </xf>
    <xf numFmtId="166" fontId="9" fillId="0" borderId="66" xfId="4" applyNumberFormat="1" applyFont="1" applyBorder="1" applyAlignment="1" applyProtection="1">
      <alignment horizontal="center" vertical="center"/>
    </xf>
    <xf numFmtId="166" fontId="9" fillId="0" borderId="67" xfId="4" applyNumberFormat="1" applyFont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left" vertical="center" wrapText="1"/>
    </xf>
    <xf numFmtId="2" fontId="10" fillId="0" borderId="43" xfId="0" applyNumberFormat="1" applyFont="1" applyFill="1" applyBorder="1" applyAlignment="1" applyProtection="1">
      <alignment horizontal="center" vertical="center"/>
    </xf>
    <xf numFmtId="166" fontId="10" fillId="0" borderId="43" xfId="4" applyNumberFormat="1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vertical="center" wrapText="1"/>
    </xf>
    <xf numFmtId="2" fontId="10" fillId="0" borderId="53" xfId="0" applyNumberFormat="1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left" vertical="center" wrapText="1"/>
    </xf>
    <xf numFmtId="2" fontId="12" fillId="0" borderId="43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Alignment="1" applyProtection="1">
      <alignment horizontal="center" vertical="center"/>
    </xf>
    <xf numFmtId="44" fontId="10" fillId="0" borderId="44" xfId="4" applyNumberFormat="1" applyFont="1" applyFill="1" applyBorder="1" applyAlignment="1" applyProtection="1">
      <alignment horizontal="center" vertical="center"/>
    </xf>
    <xf numFmtId="0" fontId="12" fillId="0" borderId="43" xfId="0" applyFont="1" applyFill="1" applyBorder="1" applyAlignment="1" applyProtection="1">
      <alignment horizontal="center" vertical="center"/>
    </xf>
    <xf numFmtId="166" fontId="12" fillId="0" borderId="43" xfId="4" applyNumberFormat="1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vertical="center" wrapText="1"/>
    </xf>
    <xf numFmtId="171" fontId="10" fillId="0" borderId="53" xfId="0" applyNumberFormat="1" applyFont="1" applyBorder="1" applyAlignment="1" applyProtection="1">
      <alignment horizontal="center" vertical="center" wrapText="1"/>
    </xf>
    <xf numFmtId="2" fontId="9" fillId="0" borderId="57" xfId="0" applyNumberFormat="1" applyFont="1" applyBorder="1" applyAlignment="1" applyProtection="1">
      <alignment horizontal="right" vertical="center" wrapText="1"/>
    </xf>
    <xf numFmtId="2" fontId="9" fillId="0" borderId="58" xfId="0" applyNumberFormat="1" applyFont="1" applyBorder="1" applyAlignment="1" applyProtection="1">
      <alignment horizontal="right" vertical="center" wrapText="1"/>
    </xf>
    <xf numFmtId="2" fontId="10" fillId="0" borderId="59" xfId="0" applyNumberFormat="1" applyFont="1" applyBorder="1" applyAlignment="1" applyProtection="1">
      <alignment horizontal="center" vertical="center" wrapText="1"/>
    </xf>
    <xf numFmtId="166" fontId="9" fillId="0" borderId="71" xfId="4" applyNumberFormat="1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center" vertical="center"/>
    </xf>
    <xf numFmtId="44" fontId="10" fillId="0" borderId="60" xfId="4" applyFont="1" applyBorder="1" applyAlignment="1" applyProtection="1">
      <alignment horizontal="center" vertical="center"/>
      <protection locked="0"/>
    </xf>
    <xf numFmtId="44" fontId="10" fillId="0" borderId="61" xfId="4" applyFont="1" applyBorder="1" applyAlignment="1" applyProtection="1">
      <alignment horizontal="center" vertical="center"/>
      <protection locked="0"/>
    </xf>
    <xf numFmtId="44" fontId="12" fillId="0" borderId="62" xfId="4" applyFont="1" applyBorder="1" applyAlignment="1" applyProtection="1">
      <alignment horizontal="center" vertical="center"/>
      <protection locked="0"/>
    </xf>
    <xf numFmtId="44" fontId="12" fillId="0" borderId="64" xfId="4" applyFont="1" applyBorder="1" applyAlignment="1" applyProtection="1">
      <alignment horizontal="center" vertical="center"/>
      <protection locked="0"/>
    </xf>
    <xf numFmtId="0" fontId="9" fillId="5" borderId="48" xfId="0" applyFont="1" applyFill="1" applyBorder="1" applyAlignment="1" applyProtection="1">
      <alignment horizontal="left" vertical="center"/>
    </xf>
    <xf numFmtId="0" fontId="9" fillId="5" borderId="52" xfId="0" applyFont="1" applyFill="1" applyBorder="1" applyAlignment="1" applyProtection="1">
      <alignment horizontal="left" vertical="center"/>
    </xf>
    <xf numFmtId="0" fontId="9" fillId="4" borderId="16" xfId="0" applyFont="1" applyFill="1" applyBorder="1" applyAlignment="1" applyProtection="1">
      <alignment horizontal="right" vertical="center"/>
    </xf>
    <xf numFmtId="0" fontId="9" fillId="4" borderId="17" xfId="0" applyFont="1" applyFill="1" applyBorder="1" applyAlignment="1" applyProtection="1">
      <alignment horizontal="right" vertical="center"/>
    </xf>
    <xf numFmtId="0" fontId="9" fillId="5" borderId="48" xfId="0" applyFont="1" applyFill="1" applyBorder="1" applyAlignment="1" applyProtection="1">
      <alignment horizontal="left" vertical="center" wrapText="1"/>
    </xf>
    <xf numFmtId="44" fontId="12" fillId="0" borderId="55" xfId="4" applyFont="1" applyBorder="1" applyAlignment="1" applyProtection="1">
      <alignment horizontal="center" vertical="center"/>
      <protection locked="0"/>
    </xf>
    <xf numFmtId="44" fontId="12" fillId="0" borderId="56" xfId="4" applyFont="1" applyBorder="1" applyAlignment="1" applyProtection="1">
      <alignment horizontal="center" vertical="center"/>
      <protection locked="0"/>
    </xf>
    <xf numFmtId="166" fontId="10" fillId="0" borderId="60" xfId="4" applyNumberFormat="1" applyFont="1" applyFill="1" applyBorder="1" applyAlignment="1" applyProtection="1">
      <alignment horizontal="center" vertical="center"/>
      <protection locked="0"/>
    </xf>
    <xf numFmtId="166" fontId="10" fillId="0" borderId="61" xfId="4" applyNumberFormat="1" applyFont="1" applyFill="1" applyBorder="1" applyAlignment="1" applyProtection="1">
      <alignment horizontal="center" vertical="center"/>
      <protection locked="0"/>
    </xf>
    <xf numFmtId="0" fontId="9" fillId="4" borderId="47" xfId="0" applyFont="1" applyFill="1" applyBorder="1" applyAlignment="1" applyProtection="1">
      <alignment horizontal="right" vertical="center"/>
    </xf>
    <xf numFmtId="0" fontId="9" fillId="4" borderId="34" xfId="0" applyFont="1" applyFill="1" applyBorder="1" applyAlignment="1" applyProtection="1">
      <alignment horizontal="right" vertical="center"/>
    </xf>
    <xf numFmtId="44" fontId="10" fillId="0" borderId="55" xfId="4" applyFont="1" applyFill="1" applyBorder="1" applyAlignment="1" applyProtection="1">
      <alignment horizontal="center" vertical="center"/>
      <protection locked="0"/>
    </xf>
    <xf numFmtId="44" fontId="10" fillId="0" borderId="56" xfId="4" applyFont="1" applyFill="1" applyBorder="1" applyAlignment="1" applyProtection="1">
      <alignment horizontal="center" vertical="center"/>
      <protection locked="0"/>
    </xf>
    <xf numFmtId="0" fontId="9" fillId="5" borderId="55" xfId="0" applyFont="1" applyFill="1" applyBorder="1" applyAlignment="1" applyProtection="1">
      <alignment horizontal="right" vertical="center"/>
    </xf>
    <xf numFmtId="0" fontId="9" fillId="5" borderId="41" xfId="0" applyFont="1" applyFill="1" applyBorder="1" applyAlignment="1" applyProtection="1">
      <alignment horizontal="right" vertical="center"/>
    </xf>
    <xf numFmtId="0" fontId="9" fillId="5" borderId="56" xfId="0" applyFont="1" applyFill="1" applyBorder="1" applyAlignment="1" applyProtection="1">
      <alignment horizontal="right" vertical="center"/>
    </xf>
    <xf numFmtId="2" fontId="9" fillId="0" borderId="60" xfId="0" applyNumberFormat="1" applyFont="1" applyBorder="1" applyAlignment="1" applyProtection="1">
      <alignment horizontal="right" vertical="center" wrapText="1"/>
    </xf>
    <xf numFmtId="2" fontId="9" fillId="0" borderId="63" xfId="0" applyNumberFormat="1" applyFont="1" applyBorder="1" applyAlignment="1" applyProtection="1">
      <alignment horizontal="right" vertical="center" wrapText="1"/>
    </xf>
    <xf numFmtId="0" fontId="9" fillId="0" borderId="60" xfId="0" applyFont="1" applyBorder="1" applyAlignment="1" applyProtection="1">
      <alignment horizontal="right" vertical="center" wrapText="1"/>
    </xf>
    <xf numFmtId="0" fontId="9" fillId="0" borderId="63" xfId="0" applyFont="1" applyBorder="1" applyAlignment="1" applyProtection="1">
      <alignment horizontal="right" vertical="center" wrapText="1"/>
    </xf>
    <xf numFmtId="0" fontId="10" fillId="0" borderId="60" xfId="0" applyFont="1" applyBorder="1" applyAlignment="1" applyProtection="1">
      <alignment horizontal="left" vertical="center" wrapText="1"/>
    </xf>
    <xf numFmtId="0" fontId="10" fillId="0" borderId="63" xfId="0" applyFont="1" applyBorder="1" applyAlignment="1" applyProtection="1">
      <alignment horizontal="left" vertical="center" wrapText="1"/>
    </xf>
    <xf numFmtId="0" fontId="10" fillId="0" borderId="61" xfId="0" applyFont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0" xfId="0" applyFont="1" applyBorder="1" applyAlignment="1" applyProtection="1">
      <alignment horizontal="right" vertical="center"/>
    </xf>
    <xf numFmtId="0" fontId="9" fillId="0" borderId="63" xfId="0" applyFont="1" applyBorder="1" applyAlignment="1" applyProtection="1">
      <alignment horizontal="right" vertical="center"/>
    </xf>
    <xf numFmtId="0" fontId="9" fillId="0" borderId="61" xfId="0" applyFont="1" applyBorder="1" applyAlignment="1" applyProtection="1">
      <alignment horizontal="right" vertical="center"/>
    </xf>
    <xf numFmtId="2" fontId="9" fillId="3" borderId="57" xfId="0" applyNumberFormat="1" applyFont="1" applyFill="1" applyBorder="1" applyAlignment="1" applyProtection="1">
      <alignment horizontal="center" vertical="center" wrapText="1"/>
    </xf>
    <xf numFmtId="2" fontId="9" fillId="3" borderId="58" xfId="0" applyNumberFormat="1" applyFont="1" applyFill="1" applyBorder="1" applyAlignment="1" applyProtection="1">
      <alignment horizontal="center" vertical="center" wrapText="1"/>
    </xf>
    <xf numFmtId="2" fontId="9" fillId="3" borderId="59" xfId="0" applyNumberFormat="1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left" vertical="center"/>
    </xf>
    <xf numFmtId="0" fontId="10" fillId="0" borderId="60" xfId="0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44" fontId="9" fillId="0" borderId="0" xfId="4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44" fontId="10" fillId="0" borderId="0" xfId="4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4" fontId="9" fillId="0" borderId="0" xfId="4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Fill="1" applyProtection="1">
      <protection locked="0"/>
    </xf>
    <xf numFmtId="168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10" fontId="10" fillId="0" borderId="25" xfId="0" applyNumberFormat="1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44" fontId="10" fillId="0" borderId="25" xfId="4" applyFont="1" applyFill="1" applyBorder="1" applyAlignment="1" applyProtection="1">
      <alignment horizontal="center" vertical="center"/>
      <protection locked="0"/>
    </xf>
    <xf numFmtId="44" fontId="9" fillId="0" borderId="25" xfId="4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0" fontId="10" fillId="0" borderId="17" xfId="0" applyNumberFormat="1" applyFont="1" applyBorder="1" applyAlignment="1" applyProtection="1">
      <alignment horizontal="left" vertical="center"/>
      <protection locked="0"/>
    </xf>
    <xf numFmtId="44" fontId="10" fillId="0" borderId="17" xfId="4" applyFont="1" applyBorder="1" applyAlignment="1" applyProtection="1">
      <alignment horizontal="center" vertical="center"/>
      <protection locked="0"/>
    </xf>
    <xf numFmtId="44" fontId="9" fillId="0" borderId="17" xfId="4" applyFont="1" applyBorder="1" applyAlignment="1" applyProtection="1">
      <alignment horizontal="center" vertical="center"/>
      <protection locked="0"/>
    </xf>
    <xf numFmtId="2" fontId="10" fillId="0" borderId="43" xfId="0" applyNumberFormat="1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44" fontId="10" fillId="0" borderId="55" xfId="4" applyFont="1" applyBorder="1" applyAlignment="1" applyProtection="1">
      <alignment horizontal="center" vertical="center" wrapText="1"/>
      <protection locked="0"/>
    </xf>
    <xf numFmtId="44" fontId="10" fillId="0" borderId="56" xfId="4" applyFont="1" applyBorder="1" applyAlignment="1" applyProtection="1">
      <alignment horizontal="center" vertical="center" wrapText="1"/>
      <protection locked="0"/>
    </xf>
    <xf numFmtId="166" fontId="13" fillId="0" borderId="0" xfId="0" applyNumberFormat="1" applyFont="1" applyProtection="1">
      <protection locked="0"/>
    </xf>
    <xf numFmtId="2" fontId="10" fillId="0" borderId="0" xfId="0" applyNumberFormat="1" applyFont="1" applyAlignment="1" applyProtection="1">
      <alignment horizontal="center" vertical="center"/>
      <protection locked="0"/>
    </xf>
    <xf numFmtId="44" fontId="10" fillId="0" borderId="55" xfId="4" applyFont="1" applyBorder="1" applyAlignment="1" applyProtection="1">
      <alignment horizontal="center" vertical="center"/>
      <protection locked="0"/>
    </xf>
    <xf numFmtId="44" fontId="10" fillId="0" borderId="56" xfId="4" applyFont="1" applyBorder="1" applyAlignment="1" applyProtection="1">
      <alignment horizontal="center" vertical="center"/>
      <protection locked="0"/>
    </xf>
    <xf numFmtId="166" fontId="13" fillId="0" borderId="0" xfId="0" applyNumberFormat="1" applyFont="1" applyFill="1" applyProtection="1">
      <protection locked="0"/>
    </xf>
    <xf numFmtId="170" fontId="0" fillId="0" borderId="0" xfId="3" applyNumberFormat="1" applyFont="1" applyProtection="1">
      <protection locked="0"/>
    </xf>
    <xf numFmtId="0" fontId="13" fillId="0" borderId="0" xfId="0" applyFont="1" applyProtection="1">
      <protection locked="0"/>
    </xf>
    <xf numFmtId="44" fontId="0" fillId="0" borderId="0" xfId="4" applyFont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Alignment="1" applyProtection="1">
      <alignment horizontal="center" vertical="center"/>
      <protection locked="0"/>
    </xf>
    <xf numFmtId="44" fontId="10" fillId="0" borderId="2" xfId="4" applyFont="1" applyBorder="1" applyAlignment="1" applyProtection="1">
      <alignment horizontal="center"/>
      <protection locked="0"/>
    </xf>
    <xf numFmtId="10" fontId="10" fillId="0" borderId="2" xfId="3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horizontal="center" vertical="center"/>
      <protection locked="0"/>
    </xf>
    <xf numFmtId="44" fontId="10" fillId="0" borderId="0" xfId="4" applyFont="1" applyBorder="1" applyAlignment="1" applyProtection="1">
      <alignment horizontal="center"/>
      <protection locked="0"/>
    </xf>
    <xf numFmtId="10" fontId="10" fillId="0" borderId="5" xfId="3" applyNumberFormat="1" applyFont="1" applyBorder="1" applyAlignment="1" applyProtection="1">
      <alignment horizontal="center"/>
      <protection locked="0"/>
    </xf>
    <xf numFmtId="4" fontId="9" fillId="0" borderId="0" xfId="0" applyNumberFormat="1" applyFont="1" applyBorder="1" applyAlignment="1" applyProtection="1">
      <alignment horizontal="center" vertical="center"/>
      <protection locked="0"/>
    </xf>
    <xf numFmtId="44" fontId="9" fillId="0" borderId="0" xfId="4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10" fontId="9" fillId="0" borderId="5" xfId="3" applyNumberFormat="1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4" fontId="10" fillId="0" borderId="25" xfId="0" applyNumberFormat="1" applyFont="1" applyBorder="1" applyAlignment="1" applyProtection="1">
      <alignment horizontal="center" vertical="center"/>
      <protection locked="0"/>
    </xf>
    <xf numFmtId="44" fontId="10" fillId="0" borderId="25" xfId="4" applyFont="1" applyBorder="1" applyAlignment="1" applyProtection="1">
      <alignment horizontal="center"/>
      <protection locked="0"/>
    </xf>
    <xf numFmtId="44" fontId="9" fillId="0" borderId="25" xfId="4" applyFont="1" applyBorder="1" applyAlignment="1" applyProtection="1">
      <alignment horizontal="center"/>
      <protection locked="0"/>
    </xf>
    <xf numFmtId="10" fontId="9" fillId="0" borderId="26" xfId="3" applyNumberFormat="1" applyFont="1" applyBorder="1" applyAlignment="1" applyProtection="1">
      <alignment horizontal="center"/>
      <protection locked="0"/>
    </xf>
    <xf numFmtId="10" fontId="9" fillId="0" borderId="0" xfId="3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4" fontId="10" fillId="0" borderId="0" xfId="4" applyFont="1" applyAlignment="1" applyProtection="1">
      <alignment horizontal="center" vertical="center"/>
      <protection locked="0"/>
    </xf>
    <xf numFmtId="44" fontId="10" fillId="0" borderId="0" xfId="4" applyNumberFormat="1" applyFont="1" applyAlignment="1" applyProtection="1">
      <alignment horizontal="center" vertical="center"/>
      <protection locked="0"/>
    </xf>
    <xf numFmtId="0" fontId="12" fillId="0" borderId="43" xfId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31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68" fontId="10" fillId="0" borderId="25" xfId="0" applyNumberFormat="1" applyFont="1" applyBorder="1" applyAlignment="1" applyProtection="1"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protection locked="0"/>
    </xf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" fontId="0" fillId="0" borderId="0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wrapText="1"/>
      <protection locked="0"/>
    </xf>
    <xf numFmtId="4" fontId="10" fillId="0" borderId="5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10" fillId="0" borderId="25" xfId="0" applyNumberFormat="1" applyFont="1" applyBorder="1" applyAlignment="1" applyProtection="1">
      <alignment horizontal="center" vertical="center"/>
      <protection locked="0"/>
    </xf>
    <xf numFmtId="4" fontId="10" fillId="0" borderId="26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2" fontId="10" fillId="0" borderId="5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40" xfId="0" applyFont="1" applyBorder="1" applyAlignment="1" applyProtection="1">
      <alignment horizontal="left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168" fontId="10" fillId="0" borderId="0" xfId="0" applyNumberFormat="1" applyFont="1" applyBorder="1" applyAlignment="1" applyProtection="1">
      <alignment horizontal="left" vertical="center"/>
      <protection locked="0"/>
    </xf>
    <xf numFmtId="168" fontId="10" fillId="0" borderId="5" xfId="0" applyNumberFormat="1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10" fontId="10" fillId="0" borderId="25" xfId="0" applyNumberFormat="1" applyFont="1" applyBorder="1" applyAlignment="1" applyProtection="1">
      <alignment horizontal="left" vertical="center"/>
      <protection locked="0"/>
    </xf>
    <xf numFmtId="10" fontId="10" fillId="0" borderId="26" xfId="0" applyNumberFormat="1" applyFont="1" applyBorder="1" applyAlignment="1" applyProtection="1">
      <alignment horizontal="left" vertical="center"/>
      <protection locked="0"/>
    </xf>
    <xf numFmtId="44" fontId="10" fillId="3" borderId="43" xfId="4" applyFont="1" applyFill="1" applyBorder="1" applyAlignment="1" applyProtection="1">
      <alignment horizontal="center" vertical="center"/>
      <protection locked="0"/>
    </xf>
    <xf numFmtId="44" fontId="10" fillId="3" borderId="60" xfId="4" applyFont="1" applyFill="1" applyBorder="1" applyAlignment="1" applyProtection="1">
      <alignment horizontal="center" vertical="center"/>
      <protection locked="0"/>
    </xf>
    <xf numFmtId="44" fontId="10" fillId="3" borderId="61" xfId="4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0" borderId="26" xfId="0" applyFont="1" applyBorder="1" applyProtection="1">
      <protection locked="0"/>
    </xf>
    <xf numFmtId="0" fontId="9" fillId="5" borderId="24" xfId="0" applyFont="1" applyFill="1" applyBorder="1" applyAlignment="1" applyProtection="1">
      <alignment horizontal="right"/>
    </xf>
    <xf numFmtId="0" fontId="9" fillId="5" borderId="25" xfId="0" applyFont="1" applyFill="1" applyBorder="1" applyAlignment="1" applyProtection="1">
      <alignment horizontal="right"/>
    </xf>
    <xf numFmtId="0" fontId="9" fillId="5" borderId="4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167" fontId="10" fillId="0" borderId="43" xfId="4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10" fillId="0" borderId="5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horizontal="left" wrapText="1"/>
      <protection locked="0"/>
    </xf>
    <xf numFmtId="0" fontId="9" fillId="0" borderId="24" xfId="0" applyFont="1" applyBorder="1" applyProtection="1">
      <protection locked="0"/>
    </xf>
    <xf numFmtId="168" fontId="10" fillId="0" borderId="25" xfId="0" applyNumberFormat="1" applyFont="1" applyBorder="1" applyAlignment="1" applyProtection="1">
      <alignment horizontal="left"/>
      <protection locked="0"/>
    </xf>
    <xf numFmtId="168" fontId="10" fillId="0" borderId="26" xfId="0" applyNumberFormat="1" applyFont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10" fontId="12" fillId="0" borderId="15" xfId="3" applyNumberFormat="1" applyFont="1" applyBorder="1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10" fontId="0" fillId="0" borderId="0" xfId="3" applyNumberFormat="1" applyFont="1" applyProtection="1">
      <protection locked="0"/>
    </xf>
    <xf numFmtId="0" fontId="12" fillId="3" borderId="20" xfId="0" applyFont="1" applyFill="1" applyBorder="1" applyProtection="1">
      <protection locked="0"/>
    </xf>
    <xf numFmtId="44" fontId="12" fillId="0" borderId="10" xfId="4" applyFont="1" applyFill="1" applyBorder="1" applyProtection="1">
      <protection locked="0"/>
    </xf>
    <xf numFmtId="10" fontId="12" fillId="0" borderId="15" xfId="3" applyNumberFormat="1" applyFont="1" applyFill="1" applyBorder="1" applyAlignment="1" applyProtection="1">
      <alignment horizontal="center" vertical="center"/>
      <protection locked="0"/>
    </xf>
    <xf numFmtId="169" fontId="12" fillId="0" borderId="15" xfId="3" applyNumberFormat="1" applyFont="1" applyFill="1" applyBorder="1" applyAlignment="1" applyProtection="1">
      <alignment horizontal="center"/>
      <protection locked="0"/>
    </xf>
    <xf numFmtId="9" fontId="12" fillId="0" borderId="15" xfId="3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wrapText="1"/>
      <protection locked="0"/>
    </xf>
    <xf numFmtId="4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44" fontId="10" fillId="0" borderId="15" xfId="3" applyNumberFormat="1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 vertical="center"/>
    </xf>
    <xf numFmtId="44" fontId="10" fillId="0" borderId="20" xfId="4" applyFont="1" applyFill="1" applyBorder="1" applyProtection="1"/>
    <xf numFmtId="44" fontId="9" fillId="0" borderId="10" xfId="4" applyFont="1" applyBorder="1" applyProtection="1"/>
    <xf numFmtId="0" fontId="9" fillId="0" borderId="15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44" fontId="10" fillId="0" borderId="20" xfId="4" applyFont="1" applyBorder="1" applyProtection="1"/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10" fillId="0" borderId="20" xfId="0" applyFont="1" applyBorder="1" applyProtection="1"/>
    <xf numFmtId="0" fontId="9" fillId="0" borderId="29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44" fontId="10" fillId="0" borderId="14" xfId="3" applyNumberFormat="1" applyFont="1" applyBorder="1" applyAlignment="1" applyProtection="1">
      <alignment horizontal="center"/>
    </xf>
    <xf numFmtId="0" fontId="10" fillId="0" borderId="46" xfId="0" applyFont="1" applyBorder="1" applyProtection="1"/>
    <xf numFmtId="0" fontId="9" fillId="2" borderId="27" xfId="0" applyFont="1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9" fillId="2" borderId="29" xfId="0" applyFont="1" applyFill="1" applyBorder="1" applyAlignment="1" applyProtection="1">
      <alignment horizontal="center"/>
    </xf>
    <xf numFmtId="0" fontId="9" fillId="2" borderId="70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 vertical="center" wrapText="1"/>
    </xf>
    <xf numFmtId="10" fontId="10" fillId="0" borderId="12" xfId="3" applyNumberFormat="1" applyFont="1" applyBorder="1" applyAlignment="1" applyProtection="1">
      <alignment horizontal="center"/>
    </xf>
    <xf numFmtId="10" fontId="10" fillId="0" borderId="12" xfId="0" applyNumberFormat="1" applyFont="1" applyBorder="1" applyAlignment="1" applyProtection="1">
      <alignment horizontal="center"/>
    </xf>
    <xf numFmtId="44" fontId="10" fillId="0" borderId="12" xfId="0" applyNumberFormat="1" applyFont="1" applyBorder="1" applyProtection="1"/>
    <xf numFmtId="44" fontId="10" fillId="0" borderId="15" xfId="0" applyNumberFormat="1" applyFont="1" applyBorder="1" applyProtection="1"/>
    <xf numFmtId="0" fontId="9" fillId="5" borderId="12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9" fillId="0" borderId="5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0" fontId="9" fillId="0" borderId="5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9" fillId="0" borderId="26" xfId="0" applyFont="1" applyFill="1" applyBorder="1" applyAlignment="1" applyProtection="1">
      <alignment horizontal="center"/>
      <protection locked="0"/>
    </xf>
    <xf numFmtId="0" fontId="10" fillId="0" borderId="36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4" fontId="12" fillId="0" borderId="37" xfId="7" applyNumberFormat="1" applyFont="1" applyBorder="1" applyAlignment="1" applyProtection="1">
      <alignment horizontal="center" vertical="center"/>
      <protection locked="0"/>
    </xf>
    <xf numFmtId="4" fontId="12" fillId="0" borderId="38" xfId="7" applyNumberFormat="1" applyFont="1" applyBorder="1" applyAlignment="1" applyProtection="1">
      <alignment horizontal="center" vertical="center"/>
      <protection locked="0"/>
    </xf>
    <xf numFmtId="166" fontId="10" fillId="0" borderId="0" xfId="0" applyNumberFormat="1" applyFont="1" applyBorder="1" applyProtection="1"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" fontId="9" fillId="0" borderId="0" xfId="0" applyNumberFormat="1" applyFont="1" applyBorder="1" applyAlignment="1" applyProtection="1">
      <alignment horizontal="center"/>
      <protection locked="0"/>
    </xf>
    <xf numFmtId="166" fontId="9" fillId="0" borderId="0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4" fontId="9" fillId="0" borderId="25" xfId="0" applyNumberFormat="1" applyFont="1" applyBorder="1" applyAlignment="1" applyProtection="1">
      <alignment horizontal="center"/>
      <protection locked="0"/>
    </xf>
    <xf numFmtId="166" fontId="9" fillId="0" borderId="25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5" xfId="0" applyFont="1" applyBorder="1" applyAlignment="1" applyProtection="1"/>
    <xf numFmtId="0" fontId="9" fillId="0" borderId="0" xfId="0" applyFont="1" applyFill="1" applyBorder="1" applyAlignment="1" applyProtection="1"/>
    <xf numFmtId="0" fontId="9" fillId="0" borderId="5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left" wrapText="1"/>
    </xf>
    <xf numFmtId="0" fontId="10" fillId="0" borderId="25" xfId="0" applyFont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0" fillId="0" borderId="1" xfId="0" applyFont="1" applyBorder="1" applyProtection="1"/>
    <xf numFmtId="0" fontId="10" fillId="0" borderId="2" xfId="0" applyFont="1" applyBorder="1" applyProtection="1"/>
    <xf numFmtId="0" fontId="10" fillId="0" borderId="3" xfId="0" applyFont="1" applyBorder="1" applyProtection="1"/>
    <xf numFmtId="4" fontId="11" fillId="0" borderId="33" xfId="7" applyNumberFormat="1" applyFont="1" applyBorder="1" applyAlignment="1" applyProtection="1">
      <alignment horizontal="center" vertical="center"/>
    </xf>
  </cellXfs>
  <cellStyles count="16">
    <cellStyle name="Moeda" xfId="4" builtinId="4"/>
    <cellStyle name="Moeda 2" xfId="2"/>
    <cellStyle name="Moeda 2 2" xfId="8"/>
    <cellStyle name="Moeda 3" xfId="9"/>
    <cellStyle name="Moeda 4" xfId="11"/>
    <cellStyle name="Moeda 5" xfId="14"/>
    <cellStyle name="Normal" xfId="0" builtinId="0"/>
    <cellStyle name="Normal 2" xfId="12"/>
    <cellStyle name="Normal 3" xfId="1"/>
    <cellStyle name="Normal 4" xfId="5"/>
    <cellStyle name="Normal 5" xfId="10"/>
    <cellStyle name="Porcentagem" xfId="3" builtinId="5"/>
    <cellStyle name="Porcentagem 2" xfId="13"/>
    <cellStyle name="Vírgula" xfId="7" builtinId="3"/>
    <cellStyle name="Vírgula 2" xfId="15"/>
    <cellStyle name="Vírgula 5" xfId="6"/>
  </cellStyles>
  <dxfs count="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47624</xdr:rowOff>
    </xdr:from>
    <xdr:to>
      <xdr:col>1</xdr:col>
      <xdr:colOff>828674</xdr:colOff>
      <xdr:row>9</xdr:row>
      <xdr:rowOff>133348</xdr:rowOff>
    </xdr:to>
    <xdr:pic>
      <xdr:nvPicPr>
        <xdr:cNvPr id="3" name="Imagem 2" descr="Nenhuma descrição de foto disponível.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8624"/>
          <a:ext cx="1409699" cy="1409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0</xdr:row>
      <xdr:rowOff>19051</xdr:rowOff>
    </xdr:from>
    <xdr:to>
      <xdr:col>3</xdr:col>
      <xdr:colOff>2524125</xdr:colOff>
      <xdr:row>8</xdr:row>
      <xdr:rowOff>266700</xdr:rowOff>
    </xdr:to>
    <xdr:pic>
      <xdr:nvPicPr>
        <xdr:cNvPr id="3" name="Imagem 2" descr="Nenhuma descrição de foto disponível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1" y="19051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114300</xdr:rowOff>
    </xdr:from>
    <xdr:to>
      <xdr:col>1</xdr:col>
      <xdr:colOff>561975</xdr:colOff>
      <xdr:row>11</xdr:row>
      <xdr:rowOff>38100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="" xmlns:a16="http://schemas.microsoft.com/office/drawing/2014/main" id="{58966C9B-0AE6-4BBB-8841-3D6605088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1295400" cy="156210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1943099</xdr:colOff>
      <xdr:row>9</xdr:row>
      <xdr:rowOff>152399</xdr:rowOff>
    </xdr:to>
    <xdr:pic>
      <xdr:nvPicPr>
        <xdr:cNvPr id="2" name="Imagem 1" descr="Nenhuma descrição de foto disponível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238374" cy="2238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847725</xdr:colOff>
      <xdr:row>9</xdr:row>
      <xdr:rowOff>38100</xdr:rowOff>
    </xdr:to>
    <xdr:pic>
      <xdr:nvPicPr>
        <xdr:cNvPr id="2" name="Imagem 1" descr="Nenhuma descrição de foto disponível.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9335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showGridLines="0" zoomScale="90" zoomScaleNormal="90" workbookViewId="0">
      <selection activeCell="H18" sqref="H18"/>
    </sheetView>
  </sheetViews>
  <sheetFormatPr defaultColWidth="8.88671875" defaultRowHeight="14.4" x14ac:dyDescent="0.3"/>
  <cols>
    <col min="1" max="1" width="9" style="263" customWidth="1"/>
    <col min="2" max="2" width="14.33203125" style="263" bestFit="1" customWidth="1"/>
    <col min="3" max="3" width="11.109375" style="263" customWidth="1"/>
    <col min="4" max="4" width="77.109375" style="262" bestFit="1" customWidth="1"/>
    <col min="5" max="5" width="9.5546875" style="224" bestFit="1" customWidth="1"/>
    <col min="6" max="6" width="8.5546875" style="263" customWidth="1"/>
    <col min="7" max="7" width="16.109375" style="264" customWidth="1"/>
    <col min="8" max="8" width="17" style="264" bestFit="1" customWidth="1"/>
    <col min="9" max="9" width="18.6640625" style="265" customWidth="1"/>
    <col min="10" max="10" width="13.5546875" style="177" bestFit="1" customWidth="1"/>
    <col min="11" max="11" width="12.6640625" style="177" bestFit="1" customWidth="1"/>
    <col min="12" max="12" width="12.6640625" style="178" bestFit="1" customWidth="1"/>
    <col min="13" max="13" width="18.44140625" style="179" customWidth="1"/>
    <col min="14" max="15" width="14.33203125" style="179" bestFit="1" customWidth="1"/>
    <col min="16" max="16384" width="8.88671875" style="179"/>
  </cols>
  <sheetData>
    <row r="1" spans="1:12" x14ac:dyDescent="0.3">
      <c r="A1" s="172"/>
      <c r="B1" s="173"/>
      <c r="C1" s="174"/>
      <c r="D1" s="175"/>
      <c r="E1" s="175"/>
      <c r="F1" s="175"/>
      <c r="G1" s="175"/>
      <c r="H1" s="175"/>
      <c r="I1" s="176"/>
    </row>
    <row r="2" spans="1:12" x14ac:dyDescent="0.3">
      <c r="A2" s="180"/>
      <c r="B2" s="181"/>
      <c r="C2" s="182"/>
      <c r="D2" s="183"/>
      <c r="E2" s="183"/>
      <c r="F2" s="183"/>
      <c r="G2" s="183"/>
      <c r="H2" s="183"/>
      <c r="I2" s="184"/>
    </row>
    <row r="3" spans="1:12" x14ac:dyDescent="0.3">
      <c r="A3" s="180"/>
      <c r="B3" s="181"/>
      <c r="C3" s="185" t="s">
        <v>55</v>
      </c>
      <c r="D3" s="186" t="s">
        <v>0</v>
      </c>
      <c r="E3" s="181"/>
      <c r="F3" s="181"/>
      <c r="G3" s="187"/>
      <c r="H3" s="187"/>
      <c r="I3" s="188"/>
    </row>
    <row r="4" spans="1:12" ht="14.25" customHeight="1" x14ac:dyDescent="0.3">
      <c r="A4" s="180"/>
      <c r="B4" s="181"/>
      <c r="C4" s="185" t="s">
        <v>57</v>
      </c>
      <c r="D4" s="189" t="s">
        <v>95</v>
      </c>
      <c r="E4" s="190"/>
      <c r="F4" s="190"/>
      <c r="G4" s="187"/>
      <c r="H4" s="187"/>
      <c r="I4" s="188"/>
    </row>
    <row r="5" spans="1:12" x14ac:dyDescent="0.3">
      <c r="A5" s="180"/>
      <c r="B5" s="181"/>
      <c r="C5" s="185" t="s">
        <v>56</v>
      </c>
      <c r="D5" s="191">
        <v>2021029282</v>
      </c>
      <c r="E5" s="190"/>
      <c r="F5" s="190"/>
      <c r="G5" s="192"/>
      <c r="H5" s="187"/>
      <c r="I5" s="188"/>
    </row>
    <row r="6" spans="1:12" x14ac:dyDescent="0.3">
      <c r="A6" s="180"/>
      <c r="B6" s="181"/>
      <c r="C6" s="185" t="s">
        <v>58</v>
      </c>
      <c r="D6" s="193" t="s">
        <v>96</v>
      </c>
      <c r="E6" s="190"/>
      <c r="F6" s="190"/>
      <c r="G6" s="187"/>
      <c r="H6" s="187"/>
      <c r="I6" s="188"/>
    </row>
    <row r="7" spans="1:12" s="202" customFormat="1" x14ac:dyDescent="0.3">
      <c r="A7" s="194"/>
      <c r="B7" s="195"/>
      <c r="C7" s="196" t="s">
        <v>59</v>
      </c>
      <c r="D7" s="193" t="s">
        <v>97</v>
      </c>
      <c r="E7" s="197"/>
      <c r="F7" s="197"/>
      <c r="G7" s="198"/>
      <c r="H7" s="198"/>
      <c r="I7" s="199"/>
      <c r="J7" s="200"/>
      <c r="K7" s="200"/>
      <c r="L7" s="201"/>
    </row>
    <row r="8" spans="1:12" s="202" customFormat="1" x14ac:dyDescent="0.3">
      <c r="A8" s="194"/>
      <c r="B8" s="195"/>
      <c r="C8" s="196"/>
      <c r="D8" s="193" t="s">
        <v>517</v>
      </c>
      <c r="E8" s="197"/>
      <c r="F8" s="197"/>
      <c r="G8" s="198"/>
      <c r="H8" s="198"/>
      <c r="I8" s="199"/>
      <c r="J8" s="200"/>
      <c r="K8" s="200"/>
      <c r="L8" s="201"/>
    </row>
    <row r="9" spans="1:12" s="202" customFormat="1" x14ac:dyDescent="0.3">
      <c r="A9" s="194"/>
      <c r="B9" s="203"/>
      <c r="C9" s="196"/>
      <c r="D9" s="193" t="s">
        <v>516</v>
      </c>
      <c r="E9" s="197"/>
      <c r="F9" s="197"/>
      <c r="G9" s="198"/>
      <c r="H9" s="198"/>
      <c r="I9" s="199"/>
      <c r="J9" s="200"/>
      <c r="K9" s="200"/>
      <c r="L9" s="201"/>
    </row>
    <row r="10" spans="1:12" x14ac:dyDescent="0.3">
      <c r="A10" s="180"/>
      <c r="B10" s="181"/>
      <c r="C10" s="185" t="s">
        <v>60</v>
      </c>
      <c r="D10" s="204" t="s">
        <v>520</v>
      </c>
      <c r="E10" s="190"/>
      <c r="F10" s="190"/>
      <c r="G10" s="187"/>
      <c r="H10" s="187"/>
      <c r="I10" s="188"/>
    </row>
    <row r="11" spans="1:12" s="202" customFormat="1" ht="15" thickBot="1" x14ac:dyDescent="0.35">
      <c r="A11" s="205"/>
      <c r="B11" s="206"/>
      <c r="C11" s="207" t="s">
        <v>39</v>
      </c>
      <c r="D11" s="208">
        <v>0.23880000000000001</v>
      </c>
      <c r="E11" s="209"/>
      <c r="F11" s="209"/>
      <c r="G11" s="210"/>
      <c r="H11" s="211"/>
      <c r="I11" s="212"/>
      <c r="J11" s="200"/>
      <c r="K11" s="200"/>
      <c r="L11" s="201"/>
    </row>
    <row r="12" spans="1:12" ht="15" thickBot="1" x14ac:dyDescent="0.35">
      <c r="A12" s="213"/>
      <c r="B12" s="214"/>
      <c r="C12" s="214"/>
      <c r="D12" s="215"/>
      <c r="E12" s="213"/>
      <c r="F12" s="213"/>
      <c r="G12" s="216"/>
      <c r="H12" s="217"/>
      <c r="I12" s="214"/>
    </row>
    <row r="13" spans="1:12" ht="15" thickBot="1" x14ac:dyDescent="0.35">
      <c r="A13" s="50" t="s">
        <v>1</v>
      </c>
      <c r="B13" s="51" t="s">
        <v>53</v>
      </c>
      <c r="C13" s="52" t="s">
        <v>54</v>
      </c>
      <c r="D13" s="53" t="s">
        <v>2</v>
      </c>
      <c r="E13" s="54" t="s">
        <v>3</v>
      </c>
      <c r="F13" s="50" t="s">
        <v>4</v>
      </c>
      <c r="G13" s="55" t="s">
        <v>5</v>
      </c>
      <c r="H13" s="55" t="s">
        <v>6</v>
      </c>
      <c r="I13" s="56" t="s">
        <v>7</v>
      </c>
    </row>
    <row r="14" spans="1:12" x14ac:dyDescent="0.3">
      <c r="A14" s="57">
        <v>1</v>
      </c>
      <c r="B14" s="58" t="s">
        <v>8</v>
      </c>
      <c r="C14" s="58">
        <v>20000</v>
      </c>
      <c r="D14" s="133" t="s">
        <v>9</v>
      </c>
      <c r="E14" s="133"/>
      <c r="F14" s="133"/>
      <c r="G14" s="133"/>
      <c r="H14" s="133"/>
      <c r="I14" s="134"/>
    </row>
    <row r="15" spans="1:12" ht="39.6" x14ac:dyDescent="0.3">
      <c r="A15" s="59" t="s">
        <v>103</v>
      </c>
      <c r="B15" s="60" t="s">
        <v>8</v>
      </c>
      <c r="C15" s="60">
        <v>20107</v>
      </c>
      <c r="D15" s="61" t="s">
        <v>98</v>
      </c>
      <c r="E15" s="11">
        <f>'MEMÓRIA DE CÁLCULO'!D16</f>
        <v>1</v>
      </c>
      <c r="F15" s="60" t="s">
        <v>99</v>
      </c>
      <c r="G15" s="62">
        <v>0</v>
      </c>
      <c r="H15" s="62">
        <v>387.77</v>
      </c>
      <c r="I15" s="63">
        <f t="shared" ref="I15:I20" si="0">(H15+G15)*E15</f>
        <v>387.77</v>
      </c>
      <c r="L15" s="177"/>
    </row>
    <row r="16" spans="1:12" x14ac:dyDescent="0.3">
      <c r="A16" s="59" t="s">
        <v>104</v>
      </c>
      <c r="B16" s="60" t="s">
        <v>8</v>
      </c>
      <c r="C16" s="60">
        <v>20203</v>
      </c>
      <c r="D16" s="64" t="s">
        <v>119</v>
      </c>
      <c r="E16" s="11">
        <f>'MEMÓRIA DE CÁLCULO'!D19</f>
        <v>404.82</v>
      </c>
      <c r="F16" s="60" t="s">
        <v>33</v>
      </c>
      <c r="G16" s="62">
        <v>0</v>
      </c>
      <c r="H16" s="62">
        <v>1.26</v>
      </c>
      <c r="I16" s="63">
        <f t="shared" si="0"/>
        <v>510.07319999999999</v>
      </c>
      <c r="L16" s="177"/>
    </row>
    <row r="17" spans="1:13" ht="26.4" x14ac:dyDescent="0.3">
      <c r="A17" s="59" t="s">
        <v>105</v>
      </c>
      <c r="B17" s="60" t="s">
        <v>8</v>
      </c>
      <c r="C17" s="9">
        <v>20703</v>
      </c>
      <c r="D17" s="65" t="s">
        <v>442</v>
      </c>
      <c r="E17" s="11">
        <f>'MEMÓRIA DE CÁLCULO'!D22</f>
        <v>2708.87</v>
      </c>
      <c r="F17" s="11" t="s">
        <v>10</v>
      </c>
      <c r="G17" s="62">
        <v>0.24</v>
      </c>
      <c r="H17" s="62">
        <v>0.09</v>
      </c>
      <c r="I17" s="63">
        <f t="shared" si="0"/>
        <v>893.92709999999988</v>
      </c>
      <c r="L17" s="177"/>
      <c r="M17" s="220"/>
    </row>
    <row r="18" spans="1:13" x14ac:dyDescent="0.3">
      <c r="A18" s="59" t="s">
        <v>106</v>
      </c>
      <c r="B18" s="60" t="s">
        <v>8</v>
      </c>
      <c r="C18" s="9">
        <v>21400</v>
      </c>
      <c r="D18" s="65" t="s">
        <v>100</v>
      </c>
      <c r="E18" s="11">
        <f>'MEMÓRIA DE CÁLCULO'!D27</f>
        <v>203.63850577228015</v>
      </c>
      <c r="F18" s="11" t="s">
        <v>32</v>
      </c>
      <c r="G18" s="62">
        <v>9.48</v>
      </c>
      <c r="H18" s="62">
        <v>0</v>
      </c>
      <c r="I18" s="63">
        <f t="shared" si="0"/>
        <v>1930.493034721216</v>
      </c>
      <c r="L18" s="177"/>
      <c r="M18" s="220"/>
    </row>
    <row r="19" spans="1:13" x14ac:dyDescent="0.3">
      <c r="A19" s="59" t="s">
        <v>107</v>
      </c>
      <c r="B19" s="60" t="s">
        <v>8</v>
      </c>
      <c r="C19" s="9">
        <v>21401</v>
      </c>
      <c r="D19" s="65" t="s">
        <v>101</v>
      </c>
      <c r="E19" s="11">
        <f>'MEMÓRIA DE CÁLCULO'!D32</f>
        <v>1449.921121576587</v>
      </c>
      <c r="F19" s="11" t="s">
        <v>102</v>
      </c>
      <c r="G19" s="62">
        <v>0.85</v>
      </c>
      <c r="H19" s="62">
        <v>0</v>
      </c>
      <c r="I19" s="63">
        <f t="shared" si="0"/>
        <v>1232.4329533400989</v>
      </c>
      <c r="L19" s="177"/>
      <c r="M19" s="220"/>
    </row>
    <row r="20" spans="1:13" ht="27" thickBot="1" x14ac:dyDescent="0.35">
      <c r="A20" s="59" t="s">
        <v>108</v>
      </c>
      <c r="B20" s="60" t="s">
        <v>118</v>
      </c>
      <c r="C20" s="9">
        <v>10775</v>
      </c>
      <c r="D20" s="65" t="s">
        <v>116</v>
      </c>
      <c r="E20" s="11">
        <f>'MEMÓRIA DE CÁLCULO'!D35</f>
        <v>5</v>
      </c>
      <c r="F20" s="9" t="s">
        <v>117</v>
      </c>
      <c r="G20" s="221">
        <v>585</v>
      </c>
      <c r="H20" s="222"/>
      <c r="I20" s="63">
        <f t="shared" si="0"/>
        <v>2925</v>
      </c>
      <c r="L20" s="177"/>
      <c r="M20" s="220"/>
    </row>
    <row r="21" spans="1:13" x14ac:dyDescent="0.3">
      <c r="A21" s="142" t="s">
        <v>61</v>
      </c>
      <c r="B21" s="143"/>
      <c r="C21" s="143"/>
      <c r="D21" s="143"/>
      <c r="E21" s="143"/>
      <c r="F21" s="143"/>
      <c r="G21" s="143"/>
      <c r="H21" s="143"/>
      <c r="I21" s="66">
        <f>ROUND(SUM(I15:I20),2)</f>
        <v>7879.7</v>
      </c>
      <c r="J21" s="223">
        <f>I21*1.2388</f>
        <v>9761.3723599999994</v>
      </c>
      <c r="K21" s="177">
        <f>H21*E21</f>
        <v>0</v>
      </c>
      <c r="L21" s="177">
        <f>K21+J21</f>
        <v>9761.3723599999994</v>
      </c>
    </row>
    <row r="22" spans="1:13" ht="15" thickBot="1" x14ac:dyDescent="0.35">
      <c r="A22" s="67" t="s">
        <v>1</v>
      </c>
      <c r="B22" s="67" t="s">
        <v>53</v>
      </c>
      <c r="C22" s="67" t="s">
        <v>54</v>
      </c>
      <c r="D22" s="68" t="s">
        <v>2</v>
      </c>
      <c r="E22" s="67" t="s">
        <v>3</v>
      </c>
      <c r="F22" s="67" t="s">
        <v>4</v>
      </c>
      <c r="G22" s="69" t="s">
        <v>5</v>
      </c>
      <c r="H22" s="69" t="s">
        <v>6</v>
      </c>
      <c r="I22" s="70" t="s">
        <v>7</v>
      </c>
      <c r="L22" s="177"/>
    </row>
    <row r="23" spans="1:13" x14ac:dyDescent="0.3">
      <c r="A23" s="57">
        <v>2</v>
      </c>
      <c r="B23" s="58" t="s">
        <v>8</v>
      </c>
      <c r="C23" s="58">
        <v>30000</v>
      </c>
      <c r="D23" s="133" t="s">
        <v>11</v>
      </c>
      <c r="E23" s="133"/>
      <c r="F23" s="133"/>
      <c r="G23" s="133"/>
      <c r="H23" s="133"/>
      <c r="I23" s="134"/>
      <c r="J23" s="177">
        <f>G23*E23</f>
        <v>0</v>
      </c>
      <c r="K23" s="177">
        <f>H23*E23</f>
        <v>0</v>
      </c>
      <c r="L23" s="177">
        <f>K23+J23</f>
        <v>0</v>
      </c>
    </row>
    <row r="24" spans="1:13" x14ac:dyDescent="0.3">
      <c r="A24" s="59" t="s">
        <v>12</v>
      </c>
      <c r="B24" s="9" t="s">
        <v>8</v>
      </c>
      <c r="C24" s="9">
        <v>30101</v>
      </c>
      <c r="D24" s="65" t="s">
        <v>120</v>
      </c>
      <c r="E24" s="11">
        <f>'MEMÓRIA DE CÁLCULO'!D40</f>
        <v>20.241</v>
      </c>
      <c r="F24" s="9" t="s">
        <v>32</v>
      </c>
      <c r="G24" s="62">
        <v>33.51</v>
      </c>
      <c r="H24" s="62">
        <v>6.94</v>
      </c>
      <c r="I24" s="63">
        <f>(H24+G24)*E24</f>
        <v>818.74844999999993</v>
      </c>
      <c r="L24" s="177"/>
    </row>
    <row r="25" spans="1:13" ht="15" thickBot="1" x14ac:dyDescent="0.35">
      <c r="A25" s="59" t="s">
        <v>52</v>
      </c>
      <c r="B25" s="9" t="s">
        <v>8</v>
      </c>
      <c r="C25" s="9">
        <v>30104</v>
      </c>
      <c r="D25" s="65" t="s">
        <v>121</v>
      </c>
      <c r="E25" s="71">
        <f>'MEMÓRIA DE CÁLCULO'!D44</f>
        <v>27.088699999999999</v>
      </c>
      <c r="F25" s="11" t="s">
        <v>32</v>
      </c>
      <c r="G25" s="62">
        <v>55.57</v>
      </c>
      <c r="H25" s="62">
        <v>0</v>
      </c>
      <c r="I25" s="63">
        <f>(H25+G25)*E25</f>
        <v>1505.3190589999999</v>
      </c>
      <c r="L25" s="177"/>
    </row>
    <row r="26" spans="1:13" ht="15" thickBot="1" x14ac:dyDescent="0.35">
      <c r="A26" s="135" t="s">
        <v>61</v>
      </c>
      <c r="B26" s="136"/>
      <c r="C26" s="136"/>
      <c r="D26" s="136"/>
      <c r="E26" s="136"/>
      <c r="F26" s="136"/>
      <c r="G26" s="136"/>
      <c r="H26" s="136"/>
      <c r="I26" s="72">
        <f>ROUND(SUM(I24:I25),2)</f>
        <v>2324.0700000000002</v>
      </c>
      <c r="J26" s="223">
        <f>I26*1.2388</f>
        <v>2879.0579159999998</v>
      </c>
      <c r="K26" s="177">
        <f>H26*E26</f>
        <v>0</v>
      </c>
      <c r="L26" s="177">
        <f>K26+J26</f>
        <v>2879.0579159999998</v>
      </c>
    </row>
    <row r="27" spans="1:13" ht="15" thickBot="1" x14ac:dyDescent="0.35">
      <c r="A27" s="50" t="s">
        <v>1</v>
      </c>
      <c r="B27" s="50" t="s">
        <v>53</v>
      </c>
      <c r="C27" s="50" t="s">
        <v>54</v>
      </c>
      <c r="D27" s="73" t="s">
        <v>2</v>
      </c>
      <c r="E27" s="50" t="s">
        <v>3</v>
      </c>
      <c r="F27" s="50" t="s">
        <v>4</v>
      </c>
      <c r="G27" s="55" t="s">
        <v>5</v>
      </c>
      <c r="H27" s="55" t="s">
        <v>6</v>
      </c>
      <c r="I27" s="70" t="s">
        <v>7</v>
      </c>
      <c r="L27" s="177"/>
    </row>
    <row r="28" spans="1:13" x14ac:dyDescent="0.3">
      <c r="A28" s="57">
        <v>3</v>
      </c>
      <c r="B28" s="58" t="s">
        <v>8</v>
      </c>
      <c r="C28" s="58">
        <v>40000</v>
      </c>
      <c r="D28" s="133" t="s">
        <v>13</v>
      </c>
      <c r="E28" s="133"/>
      <c r="F28" s="133"/>
      <c r="G28" s="133"/>
      <c r="H28" s="133"/>
      <c r="I28" s="134"/>
      <c r="J28" s="177">
        <f>G28*E28</f>
        <v>0</v>
      </c>
      <c r="K28" s="177">
        <f>H28*E28</f>
        <v>0</v>
      </c>
      <c r="L28" s="177">
        <f>K28+J28</f>
        <v>0</v>
      </c>
    </row>
    <row r="29" spans="1:13" x14ac:dyDescent="0.3">
      <c r="A29" s="74" t="s">
        <v>130</v>
      </c>
      <c r="B29" s="9" t="s">
        <v>8</v>
      </c>
      <c r="C29" s="9">
        <v>40101</v>
      </c>
      <c r="D29" s="65" t="s">
        <v>126</v>
      </c>
      <c r="E29" s="11">
        <f>'MEMÓRIA DE CÁLCULO'!D52</f>
        <v>3.4958</v>
      </c>
      <c r="F29" s="11" t="s">
        <v>32</v>
      </c>
      <c r="G29" s="62">
        <v>0</v>
      </c>
      <c r="H29" s="62">
        <v>24.74</v>
      </c>
      <c r="I29" s="63">
        <f t="shared" ref="I29:I35" si="1">(H29+G29)*E29</f>
        <v>86.486091999999999</v>
      </c>
      <c r="L29" s="177"/>
    </row>
    <row r="30" spans="1:13" x14ac:dyDescent="0.3">
      <c r="A30" s="74" t="s">
        <v>131</v>
      </c>
      <c r="B30" s="9" t="s">
        <v>8</v>
      </c>
      <c r="C30" s="9">
        <v>40905</v>
      </c>
      <c r="D30" s="65" t="s">
        <v>127</v>
      </c>
      <c r="E30" s="11">
        <f>'MEMÓRIA DE CÁLCULO'!D57</f>
        <v>1019.7800000000001</v>
      </c>
      <c r="F30" s="11" t="s">
        <v>10</v>
      </c>
      <c r="G30" s="62">
        <v>0.12</v>
      </c>
      <c r="H30" s="62">
        <v>0.24</v>
      </c>
      <c r="I30" s="63">
        <f t="shared" si="1"/>
        <v>367.12080000000003</v>
      </c>
      <c r="L30" s="177"/>
    </row>
    <row r="31" spans="1:13" x14ac:dyDescent="0.3">
      <c r="A31" s="74" t="s">
        <v>132</v>
      </c>
      <c r="B31" s="9" t="s">
        <v>8</v>
      </c>
      <c r="C31" s="9">
        <v>41004</v>
      </c>
      <c r="D31" s="65" t="s">
        <v>128</v>
      </c>
      <c r="E31" s="11">
        <f>'MEMÓRIA DE CÁLCULO'!D64</f>
        <v>81</v>
      </c>
      <c r="F31" s="11" t="s">
        <v>32</v>
      </c>
      <c r="G31" s="62">
        <v>1.67</v>
      </c>
      <c r="H31" s="62">
        <v>0</v>
      </c>
      <c r="I31" s="63">
        <f t="shared" si="1"/>
        <v>135.26999999999998</v>
      </c>
      <c r="L31" s="177"/>
    </row>
    <row r="32" spans="1:13" x14ac:dyDescent="0.3">
      <c r="A32" s="74" t="s">
        <v>133</v>
      </c>
      <c r="B32" s="9" t="s">
        <v>8</v>
      </c>
      <c r="C32" s="9">
        <v>41005</v>
      </c>
      <c r="D32" s="65" t="s">
        <v>129</v>
      </c>
      <c r="E32" s="11">
        <f>'MEMÓRIA DE CÁLCULO'!D68</f>
        <v>500</v>
      </c>
      <c r="F32" s="11" t="s">
        <v>32</v>
      </c>
      <c r="G32" s="62">
        <v>1.05</v>
      </c>
      <c r="H32" s="62">
        <v>0</v>
      </c>
      <c r="I32" s="63">
        <f t="shared" si="1"/>
        <v>525</v>
      </c>
      <c r="L32" s="177"/>
    </row>
    <row r="33" spans="1:12" ht="26.4" x14ac:dyDescent="0.3">
      <c r="A33" s="74" t="s">
        <v>134</v>
      </c>
      <c r="B33" s="9" t="s">
        <v>8</v>
      </c>
      <c r="C33" s="9">
        <v>41140</v>
      </c>
      <c r="D33" s="65" t="s">
        <v>441</v>
      </c>
      <c r="E33" s="11">
        <f>'MEMÓRIA DE CÁLCULO'!D71</f>
        <v>2118.9699999999998</v>
      </c>
      <c r="F33" s="11" t="s">
        <v>10</v>
      </c>
      <c r="G33" s="62">
        <v>0</v>
      </c>
      <c r="H33" s="62">
        <v>1.96</v>
      </c>
      <c r="I33" s="63">
        <f t="shared" si="1"/>
        <v>4153.1811999999991</v>
      </c>
      <c r="L33" s="177"/>
    </row>
    <row r="34" spans="1:12" x14ac:dyDescent="0.3">
      <c r="A34" s="74" t="s">
        <v>379</v>
      </c>
      <c r="B34" s="9" t="s">
        <v>8</v>
      </c>
      <c r="C34" s="9">
        <v>6081</v>
      </c>
      <c r="D34" s="10" t="s">
        <v>395</v>
      </c>
      <c r="E34" s="11">
        <f>'MEMÓRIA DE CÁLCULO'!D75</f>
        <v>500</v>
      </c>
      <c r="F34" s="16" t="s">
        <v>394</v>
      </c>
      <c r="G34" s="129">
        <v>29.08</v>
      </c>
      <c r="H34" s="130"/>
      <c r="I34" s="63">
        <f t="shared" si="1"/>
        <v>14540</v>
      </c>
      <c r="L34" s="177"/>
    </row>
    <row r="35" spans="1:12" ht="15" thickBot="1" x14ac:dyDescent="0.35">
      <c r="A35" s="74" t="s">
        <v>392</v>
      </c>
      <c r="B35" s="9" t="s">
        <v>8</v>
      </c>
      <c r="C35" s="9">
        <v>41009</v>
      </c>
      <c r="D35" s="65" t="s">
        <v>393</v>
      </c>
      <c r="E35" s="11">
        <f>'MEMÓRIA DE CÁLCULO'!D78</f>
        <v>400</v>
      </c>
      <c r="F35" s="11" t="s">
        <v>32</v>
      </c>
      <c r="G35" s="62">
        <v>1.65</v>
      </c>
      <c r="H35" s="62">
        <v>0</v>
      </c>
      <c r="I35" s="63">
        <f t="shared" si="1"/>
        <v>660</v>
      </c>
      <c r="L35" s="177"/>
    </row>
    <row r="36" spans="1:12" ht="15" thickBot="1" x14ac:dyDescent="0.35">
      <c r="A36" s="135" t="s">
        <v>61</v>
      </c>
      <c r="B36" s="136"/>
      <c r="C36" s="136"/>
      <c r="D36" s="136"/>
      <c r="E36" s="136"/>
      <c r="F36" s="136"/>
      <c r="G36" s="136"/>
      <c r="H36" s="136"/>
      <c r="I36" s="72">
        <f>ROUND(SUM(I29:I35),2)</f>
        <v>20467.060000000001</v>
      </c>
      <c r="J36" s="223">
        <f>I36*1.2388</f>
        <v>25354.593927999998</v>
      </c>
      <c r="K36" s="177">
        <f>H36*E36</f>
        <v>0</v>
      </c>
      <c r="L36" s="177">
        <f>K36+J36</f>
        <v>25354.593927999998</v>
      </c>
    </row>
    <row r="37" spans="1:12" ht="15" thickBot="1" x14ac:dyDescent="0.35">
      <c r="A37" s="50" t="s">
        <v>1</v>
      </c>
      <c r="B37" s="50" t="s">
        <v>53</v>
      </c>
      <c r="C37" s="50" t="s">
        <v>54</v>
      </c>
      <c r="D37" s="73" t="s">
        <v>2</v>
      </c>
      <c r="E37" s="50" t="s">
        <v>3</v>
      </c>
      <c r="F37" s="50" t="s">
        <v>4</v>
      </c>
      <c r="G37" s="55" t="s">
        <v>5</v>
      </c>
      <c r="H37" s="55" t="s">
        <v>6</v>
      </c>
      <c r="I37" s="70" t="s">
        <v>7</v>
      </c>
      <c r="L37" s="177"/>
    </row>
    <row r="38" spans="1:12" x14ac:dyDescent="0.3">
      <c r="A38" s="57">
        <v>4</v>
      </c>
      <c r="B38" s="58" t="s">
        <v>14</v>
      </c>
      <c r="C38" s="58">
        <v>50000</v>
      </c>
      <c r="D38" s="133" t="s">
        <v>15</v>
      </c>
      <c r="E38" s="133"/>
      <c r="F38" s="133"/>
      <c r="G38" s="133"/>
      <c r="H38" s="133"/>
      <c r="I38" s="134"/>
      <c r="J38" s="177">
        <f>G38*E38</f>
        <v>0</v>
      </c>
      <c r="K38" s="177">
        <f>H38*E38</f>
        <v>0</v>
      </c>
      <c r="L38" s="177">
        <f>K38+J38</f>
        <v>0</v>
      </c>
    </row>
    <row r="39" spans="1:12" x14ac:dyDescent="0.3">
      <c r="A39" s="74" t="s">
        <v>145</v>
      </c>
      <c r="B39" s="9" t="s">
        <v>14</v>
      </c>
      <c r="C39" s="9">
        <v>50301</v>
      </c>
      <c r="D39" s="65" t="s">
        <v>135</v>
      </c>
      <c r="E39" s="11">
        <f>'MEMÓRIA DE CÁLCULO'!D85</f>
        <v>7.5</v>
      </c>
      <c r="F39" s="11" t="s">
        <v>136</v>
      </c>
      <c r="G39" s="62">
        <v>16.66</v>
      </c>
      <c r="H39" s="62">
        <v>18.78</v>
      </c>
      <c r="I39" s="63">
        <f t="shared" ref="I39:I46" si="2">(H39+G39)*E39</f>
        <v>265.79999999999995</v>
      </c>
      <c r="L39" s="177"/>
    </row>
    <row r="40" spans="1:12" x14ac:dyDescent="0.3">
      <c r="A40" s="74" t="s">
        <v>146</v>
      </c>
      <c r="B40" s="9" t="s">
        <v>14</v>
      </c>
      <c r="C40" s="9">
        <v>50901</v>
      </c>
      <c r="D40" s="65" t="s">
        <v>137</v>
      </c>
      <c r="E40" s="11">
        <f>'MEMÓRIA DE CÁLCULO'!D97</f>
        <v>2.1960000000000006</v>
      </c>
      <c r="F40" s="11" t="s">
        <v>32</v>
      </c>
      <c r="G40" s="62">
        <v>0</v>
      </c>
      <c r="H40" s="62">
        <v>31.32</v>
      </c>
      <c r="I40" s="63">
        <f t="shared" si="2"/>
        <v>68.778720000000021</v>
      </c>
      <c r="L40" s="177"/>
    </row>
    <row r="41" spans="1:12" x14ac:dyDescent="0.3">
      <c r="A41" s="74" t="s">
        <v>147</v>
      </c>
      <c r="B41" s="9" t="s">
        <v>14</v>
      </c>
      <c r="C41" s="9">
        <v>50902</v>
      </c>
      <c r="D41" s="65" t="s">
        <v>138</v>
      </c>
      <c r="E41" s="11">
        <f>'MEMÓRIA DE CÁLCULO'!D109</f>
        <v>4.6800000000000006</v>
      </c>
      <c r="F41" s="11" t="s">
        <v>10</v>
      </c>
      <c r="G41" s="62">
        <v>0</v>
      </c>
      <c r="H41" s="62">
        <v>3.86</v>
      </c>
      <c r="I41" s="63">
        <f t="shared" si="2"/>
        <v>18.064800000000002</v>
      </c>
      <c r="L41" s="177"/>
    </row>
    <row r="42" spans="1:12" x14ac:dyDescent="0.3">
      <c r="A42" s="74" t="s">
        <v>148</v>
      </c>
      <c r="B42" s="9" t="s">
        <v>14</v>
      </c>
      <c r="C42" s="9">
        <v>51030</v>
      </c>
      <c r="D42" s="65" t="s">
        <v>139</v>
      </c>
      <c r="E42" s="11">
        <f>'MEMÓRIA DE CÁLCULO'!D121</f>
        <v>2.1960000000000006</v>
      </c>
      <c r="F42" s="11" t="s">
        <v>32</v>
      </c>
      <c r="G42" s="62">
        <v>334.03</v>
      </c>
      <c r="H42" s="62">
        <v>57.19</v>
      </c>
      <c r="I42" s="63">
        <f t="shared" si="2"/>
        <v>859.11912000000018</v>
      </c>
      <c r="L42" s="177"/>
    </row>
    <row r="43" spans="1:12" x14ac:dyDescent="0.3">
      <c r="A43" s="74" t="s">
        <v>149</v>
      </c>
      <c r="B43" s="9" t="s">
        <v>14</v>
      </c>
      <c r="C43" s="9">
        <v>51055</v>
      </c>
      <c r="D43" s="65" t="s">
        <v>140</v>
      </c>
      <c r="E43" s="11">
        <f>'MEMÓRIA DE CÁLCULO'!D133</f>
        <v>2.1960000000000006</v>
      </c>
      <c r="F43" s="11" t="s">
        <v>32</v>
      </c>
      <c r="G43" s="62">
        <v>0</v>
      </c>
      <c r="H43" s="62">
        <v>34.729999999999997</v>
      </c>
      <c r="I43" s="63">
        <f t="shared" si="2"/>
        <v>76.267080000000021</v>
      </c>
      <c r="L43" s="177"/>
    </row>
    <row r="44" spans="1:12" x14ac:dyDescent="0.3">
      <c r="A44" s="74" t="s">
        <v>150</v>
      </c>
      <c r="B44" s="9" t="s">
        <v>14</v>
      </c>
      <c r="C44" s="9">
        <v>52003</v>
      </c>
      <c r="D44" s="65" t="s">
        <v>141</v>
      </c>
      <c r="E44" s="11">
        <f>'MEMÓRIA DE CÁLCULO'!D141</f>
        <v>7.2887499999999994</v>
      </c>
      <c r="F44" s="11" t="s">
        <v>142</v>
      </c>
      <c r="G44" s="62">
        <v>13.81</v>
      </c>
      <c r="H44" s="62">
        <v>2.0499999999999998</v>
      </c>
      <c r="I44" s="63">
        <f t="shared" si="2"/>
        <v>115.59957499999999</v>
      </c>
      <c r="L44" s="177"/>
    </row>
    <row r="45" spans="1:12" x14ac:dyDescent="0.3">
      <c r="A45" s="74" t="s">
        <v>151</v>
      </c>
      <c r="B45" s="9" t="s">
        <v>14</v>
      </c>
      <c r="C45" s="9">
        <v>52004</v>
      </c>
      <c r="D45" s="65" t="s">
        <v>144</v>
      </c>
      <c r="E45" s="11">
        <f>'MEMÓRIA DE CÁLCULO'!D149</f>
        <v>7.9</v>
      </c>
      <c r="F45" s="11" t="s">
        <v>142</v>
      </c>
      <c r="G45" s="62">
        <v>12.82</v>
      </c>
      <c r="H45" s="62">
        <v>2.0499999999999998</v>
      </c>
      <c r="I45" s="63">
        <f t="shared" si="2"/>
        <v>117.47300000000001</v>
      </c>
      <c r="L45" s="177"/>
    </row>
    <row r="46" spans="1:12" ht="15" thickBot="1" x14ac:dyDescent="0.35">
      <c r="A46" s="74" t="s">
        <v>390</v>
      </c>
      <c r="B46" s="9" t="s">
        <v>14</v>
      </c>
      <c r="C46" s="9">
        <v>2502</v>
      </c>
      <c r="D46" s="65" t="s">
        <v>389</v>
      </c>
      <c r="E46" s="11">
        <f>'MEMÓRIA DE CÁLCULO'!D155</f>
        <v>48.6</v>
      </c>
      <c r="F46" s="11" t="s">
        <v>32</v>
      </c>
      <c r="G46" s="225">
        <v>126.67</v>
      </c>
      <c r="H46" s="226"/>
      <c r="I46" s="63">
        <f t="shared" si="2"/>
        <v>6156.1620000000003</v>
      </c>
      <c r="L46" s="177"/>
    </row>
    <row r="47" spans="1:12" ht="15" thickBot="1" x14ac:dyDescent="0.35">
      <c r="A47" s="135" t="s">
        <v>61</v>
      </c>
      <c r="B47" s="136"/>
      <c r="C47" s="136"/>
      <c r="D47" s="136"/>
      <c r="E47" s="136"/>
      <c r="F47" s="136"/>
      <c r="G47" s="136"/>
      <c r="H47" s="136"/>
      <c r="I47" s="72">
        <f>ROUND(SUM(I39:I46),2)</f>
        <v>7677.26</v>
      </c>
      <c r="J47" s="223">
        <f>I47*1.2388</f>
        <v>9510.589688</v>
      </c>
      <c r="K47" s="177">
        <f>H47*E47</f>
        <v>0</v>
      </c>
      <c r="L47" s="177">
        <f>K47+J47</f>
        <v>9510.589688</v>
      </c>
    </row>
    <row r="48" spans="1:12" ht="15" thickBot="1" x14ac:dyDescent="0.35">
      <c r="A48" s="50" t="s">
        <v>1</v>
      </c>
      <c r="B48" s="50" t="s">
        <v>53</v>
      </c>
      <c r="C48" s="50" t="s">
        <v>54</v>
      </c>
      <c r="D48" s="73" t="s">
        <v>2</v>
      </c>
      <c r="E48" s="50" t="s">
        <v>3</v>
      </c>
      <c r="F48" s="50" t="s">
        <v>4</v>
      </c>
      <c r="G48" s="55" t="s">
        <v>5</v>
      </c>
      <c r="H48" s="55" t="s">
        <v>6</v>
      </c>
      <c r="I48" s="70" t="s">
        <v>7</v>
      </c>
      <c r="L48" s="177"/>
    </row>
    <row r="49" spans="1:12" x14ac:dyDescent="0.3">
      <c r="A49" s="57">
        <v>5</v>
      </c>
      <c r="B49" s="58" t="s">
        <v>14</v>
      </c>
      <c r="C49" s="58">
        <v>60000</v>
      </c>
      <c r="D49" s="133" t="s">
        <v>16</v>
      </c>
      <c r="E49" s="133"/>
      <c r="F49" s="133"/>
      <c r="G49" s="133"/>
      <c r="H49" s="133"/>
      <c r="I49" s="134"/>
      <c r="J49" s="177">
        <f>G49*E49</f>
        <v>0</v>
      </c>
      <c r="K49" s="177">
        <f>H49*E49</f>
        <v>0</v>
      </c>
      <c r="L49" s="177">
        <f>K49+J49</f>
        <v>0</v>
      </c>
    </row>
    <row r="50" spans="1:12" ht="26.4" x14ac:dyDescent="0.3">
      <c r="A50" s="75" t="s">
        <v>152</v>
      </c>
      <c r="B50" s="9" t="s">
        <v>8</v>
      </c>
      <c r="C50" s="9">
        <v>61130</v>
      </c>
      <c r="D50" s="65" t="s">
        <v>505</v>
      </c>
      <c r="E50" s="11">
        <f>'MEMÓRIA DE CÁLCULO'!D161</f>
        <v>81.977499999999992</v>
      </c>
      <c r="F50" s="11" t="s">
        <v>10</v>
      </c>
      <c r="G50" s="62">
        <v>250.49</v>
      </c>
      <c r="H50" s="62">
        <v>122.67</v>
      </c>
      <c r="I50" s="63">
        <f t="shared" ref="I50:I58" si="3">(H50+G50)*E50</f>
        <v>30590.723900000001</v>
      </c>
      <c r="L50" s="177"/>
    </row>
    <row r="51" spans="1:12" x14ac:dyDescent="0.3">
      <c r="A51" s="75" t="s">
        <v>241</v>
      </c>
      <c r="B51" s="9" t="s">
        <v>8</v>
      </c>
      <c r="C51" s="9">
        <v>60205</v>
      </c>
      <c r="D51" s="65" t="s">
        <v>513</v>
      </c>
      <c r="E51" s="11">
        <f>'MEMÓRIA DE CÁLCULO'!D168</f>
        <v>22.4</v>
      </c>
      <c r="F51" s="11" t="s">
        <v>10</v>
      </c>
      <c r="G51" s="62">
        <v>18.96</v>
      </c>
      <c r="H51" s="62">
        <v>16.899999999999999</v>
      </c>
      <c r="I51" s="63">
        <f t="shared" si="3"/>
        <v>803.2639999999999</v>
      </c>
      <c r="L51" s="177"/>
    </row>
    <row r="52" spans="1:12" x14ac:dyDescent="0.3">
      <c r="A52" s="75" t="s">
        <v>242</v>
      </c>
      <c r="B52" s="9" t="s">
        <v>8</v>
      </c>
      <c r="C52" s="9">
        <v>60191</v>
      </c>
      <c r="D52" s="65" t="s">
        <v>378</v>
      </c>
      <c r="E52" s="11">
        <f>'MEMÓRIA DE CÁLCULO'!D178</f>
        <v>10.088999999999999</v>
      </c>
      <c r="F52" s="11" t="s">
        <v>10</v>
      </c>
      <c r="G52" s="62">
        <v>16.09</v>
      </c>
      <c r="H52" s="62">
        <v>7.79</v>
      </c>
      <c r="I52" s="63">
        <f t="shared" si="3"/>
        <v>240.92531999999997</v>
      </c>
      <c r="L52" s="177"/>
    </row>
    <row r="53" spans="1:12" x14ac:dyDescent="0.3">
      <c r="A53" s="75" t="s">
        <v>243</v>
      </c>
      <c r="B53" s="9" t="s">
        <v>8</v>
      </c>
      <c r="C53" s="9">
        <v>60192</v>
      </c>
      <c r="D53" s="65" t="s">
        <v>515</v>
      </c>
      <c r="E53" s="11">
        <f>'MEMÓRIA DE CÁLCULO'!D184</f>
        <v>24.024000000000004</v>
      </c>
      <c r="F53" s="11" t="s">
        <v>33</v>
      </c>
      <c r="G53" s="62">
        <v>13.21</v>
      </c>
      <c r="H53" s="62">
        <v>7.79</v>
      </c>
      <c r="I53" s="63">
        <f t="shared" si="3"/>
        <v>504.50400000000008</v>
      </c>
      <c r="L53" s="177"/>
    </row>
    <row r="54" spans="1:12" x14ac:dyDescent="0.3">
      <c r="A54" s="75" t="s">
        <v>244</v>
      </c>
      <c r="B54" s="9" t="s">
        <v>8</v>
      </c>
      <c r="C54" s="9">
        <v>60303</v>
      </c>
      <c r="D54" s="65" t="s">
        <v>245</v>
      </c>
      <c r="E54" s="11">
        <f>'MEMÓRIA DE CÁLCULO'!D200</f>
        <v>158.47089999999997</v>
      </c>
      <c r="F54" s="11" t="s">
        <v>142</v>
      </c>
      <c r="G54" s="62">
        <v>13.81</v>
      </c>
      <c r="H54" s="62">
        <v>2.0499999999999998</v>
      </c>
      <c r="I54" s="63">
        <f t="shared" si="3"/>
        <v>2513.3484739999994</v>
      </c>
      <c r="L54" s="177"/>
    </row>
    <row r="55" spans="1:12" x14ac:dyDescent="0.3">
      <c r="A55" s="75" t="s">
        <v>247</v>
      </c>
      <c r="B55" s="9" t="s">
        <v>8</v>
      </c>
      <c r="C55" s="9">
        <v>60304</v>
      </c>
      <c r="D55" s="65" t="s">
        <v>246</v>
      </c>
      <c r="E55" s="11">
        <f>'MEMÓRIA DE CÁLCULO'!D220</f>
        <v>280.43420000000003</v>
      </c>
      <c r="F55" s="11" t="s">
        <v>142</v>
      </c>
      <c r="G55" s="62">
        <v>12.82</v>
      </c>
      <c r="H55" s="62">
        <v>2.0499999999999998</v>
      </c>
      <c r="I55" s="63">
        <f t="shared" si="3"/>
        <v>4170.0565540000007</v>
      </c>
      <c r="L55" s="177"/>
    </row>
    <row r="56" spans="1:12" x14ac:dyDescent="0.3">
      <c r="A56" s="75" t="s">
        <v>248</v>
      </c>
      <c r="B56" s="9" t="s">
        <v>8</v>
      </c>
      <c r="C56" s="9">
        <v>60517</v>
      </c>
      <c r="D56" s="65" t="s">
        <v>139</v>
      </c>
      <c r="E56" s="11">
        <f>'MEMÓRIA DE CÁLCULO'!D245</f>
        <v>8.9112492799999998</v>
      </c>
      <c r="F56" s="11" t="s">
        <v>32</v>
      </c>
      <c r="G56" s="62">
        <v>334.03</v>
      </c>
      <c r="H56" s="62">
        <v>57.19</v>
      </c>
      <c r="I56" s="63">
        <f t="shared" si="3"/>
        <v>3486.2589433215999</v>
      </c>
      <c r="L56" s="177"/>
    </row>
    <row r="57" spans="1:12" ht="28.5" customHeight="1" x14ac:dyDescent="0.3">
      <c r="A57" s="75" t="s">
        <v>377</v>
      </c>
      <c r="B57" s="9" t="s">
        <v>8</v>
      </c>
      <c r="C57" s="9">
        <v>60801</v>
      </c>
      <c r="D57" s="65" t="s">
        <v>249</v>
      </c>
      <c r="E57" s="11">
        <f>'MEMÓRIA DE CÁLCULO'!D268</f>
        <v>9.1361600000000003</v>
      </c>
      <c r="F57" s="11" t="s">
        <v>32</v>
      </c>
      <c r="G57" s="62">
        <v>0</v>
      </c>
      <c r="H57" s="62">
        <v>34.729999999999997</v>
      </c>
      <c r="I57" s="63">
        <f t="shared" si="3"/>
        <v>317.2988368</v>
      </c>
      <c r="L57" s="177"/>
    </row>
    <row r="58" spans="1:12" ht="27" thickBot="1" x14ac:dyDescent="0.35">
      <c r="A58" s="75" t="s">
        <v>514</v>
      </c>
      <c r="B58" s="9" t="s">
        <v>118</v>
      </c>
      <c r="C58" s="9">
        <v>7156</v>
      </c>
      <c r="D58" s="65" t="s">
        <v>251</v>
      </c>
      <c r="E58" s="11">
        <f>'MEMÓRIA DE CÁLCULO'!D274</f>
        <v>10.14</v>
      </c>
      <c r="F58" s="11" t="s">
        <v>252</v>
      </c>
      <c r="G58" s="129">
        <v>30.31</v>
      </c>
      <c r="H58" s="130"/>
      <c r="I58" s="63">
        <f t="shared" si="3"/>
        <v>307.34340000000003</v>
      </c>
      <c r="L58" s="177"/>
    </row>
    <row r="59" spans="1:12" ht="15" thickBot="1" x14ac:dyDescent="0.35">
      <c r="A59" s="135" t="s">
        <v>61</v>
      </c>
      <c r="B59" s="136"/>
      <c r="C59" s="136"/>
      <c r="D59" s="136"/>
      <c r="E59" s="136"/>
      <c r="F59" s="136"/>
      <c r="G59" s="136"/>
      <c r="H59" s="136"/>
      <c r="I59" s="72">
        <f>ROUND(SUM(I50:I58),2)</f>
        <v>42933.72</v>
      </c>
      <c r="J59" s="223">
        <f>I59*1.2388</f>
        <v>53186.292335999999</v>
      </c>
      <c r="K59" s="177">
        <f>H59*E59</f>
        <v>0</v>
      </c>
      <c r="L59" s="177">
        <f>K59+J59</f>
        <v>53186.292335999999</v>
      </c>
    </row>
    <row r="60" spans="1:12" ht="15" thickBot="1" x14ac:dyDescent="0.35">
      <c r="A60" s="50" t="s">
        <v>1</v>
      </c>
      <c r="B60" s="50" t="s">
        <v>53</v>
      </c>
      <c r="C60" s="50" t="s">
        <v>54</v>
      </c>
      <c r="D60" s="73" t="s">
        <v>2</v>
      </c>
      <c r="E60" s="50" t="s">
        <v>3</v>
      </c>
      <c r="F60" s="50" t="s">
        <v>4</v>
      </c>
      <c r="G60" s="55" t="s">
        <v>5</v>
      </c>
      <c r="H60" s="55" t="s">
        <v>6</v>
      </c>
      <c r="I60" s="70" t="s">
        <v>7</v>
      </c>
      <c r="L60" s="177"/>
    </row>
    <row r="61" spans="1:12" x14ac:dyDescent="0.3">
      <c r="A61" s="57">
        <v>6</v>
      </c>
      <c r="B61" s="58" t="s">
        <v>14</v>
      </c>
      <c r="C61" s="58">
        <v>70000</v>
      </c>
      <c r="D61" s="133" t="s">
        <v>17</v>
      </c>
      <c r="E61" s="133"/>
      <c r="F61" s="133"/>
      <c r="G61" s="133"/>
      <c r="H61" s="133"/>
      <c r="I61" s="134"/>
      <c r="J61" s="177">
        <f>G61*E61</f>
        <v>0</v>
      </c>
      <c r="K61" s="177">
        <f>H61*E61</f>
        <v>0</v>
      </c>
      <c r="L61" s="177">
        <f>K61+J61</f>
        <v>0</v>
      </c>
    </row>
    <row r="62" spans="1:12" x14ac:dyDescent="0.3">
      <c r="A62" s="75" t="s">
        <v>211</v>
      </c>
      <c r="B62" s="9" t="s">
        <v>8</v>
      </c>
      <c r="C62" s="9">
        <v>70509</v>
      </c>
      <c r="D62" s="65" t="s">
        <v>183</v>
      </c>
      <c r="E62" s="11">
        <f>'MEMÓRIA DE CÁLCULO'!D277</f>
        <v>420.95999999999992</v>
      </c>
      <c r="F62" s="11" t="s">
        <v>136</v>
      </c>
      <c r="G62" s="62" t="s">
        <v>184</v>
      </c>
      <c r="H62" s="62" t="s">
        <v>185</v>
      </c>
      <c r="I62" s="63">
        <f t="shared" ref="I62:I81" si="4">(H62+G62)*E62</f>
        <v>3211.9247999999993</v>
      </c>
      <c r="L62" s="177"/>
    </row>
    <row r="63" spans="1:12" x14ac:dyDescent="0.3">
      <c r="A63" s="75" t="s">
        <v>212</v>
      </c>
      <c r="B63" s="9" t="s">
        <v>8</v>
      </c>
      <c r="C63" s="9">
        <v>70510</v>
      </c>
      <c r="D63" s="65" t="s">
        <v>186</v>
      </c>
      <c r="E63" s="11">
        <f>'MEMÓRIA DE CÁLCULO'!D278</f>
        <v>426.1400000000001</v>
      </c>
      <c r="F63" s="11" t="s">
        <v>136</v>
      </c>
      <c r="G63" s="62" t="s">
        <v>187</v>
      </c>
      <c r="H63" s="62" t="s">
        <v>143</v>
      </c>
      <c r="I63" s="63">
        <f t="shared" si="4"/>
        <v>4870.7802000000011</v>
      </c>
      <c r="L63" s="177"/>
    </row>
    <row r="64" spans="1:12" x14ac:dyDescent="0.3">
      <c r="A64" s="75" t="s">
        <v>213</v>
      </c>
      <c r="B64" s="9" t="s">
        <v>8</v>
      </c>
      <c r="C64" s="9">
        <v>70511</v>
      </c>
      <c r="D64" s="65" t="s">
        <v>188</v>
      </c>
      <c r="E64" s="11">
        <f>'MEMÓRIA DE CÁLCULO'!D279</f>
        <v>850.88000000000022</v>
      </c>
      <c r="F64" s="11" t="s">
        <v>136</v>
      </c>
      <c r="G64" s="62" t="s">
        <v>189</v>
      </c>
      <c r="H64" s="62" t="s">
        <v>190</v>
      </c>
      <c r="I64" s="63">
        <f t="shared" si="4"/>
        <v>14175.660800000003</v>
      </c>
      <c r="L64" s="177"/>
    </row>
    <row r="65" spans="1:12" x14ac:dyDescent="0.3">
      <c r="A65" s="75" t="s">
        <v>214</v>
      </c>
      <c r="B65" s="9" t="s">
        <v>8</v>
      </c>
      <c r="C65" s="9">
        <v>70634</v>
      </c>
      <c r="D65" s="65" t="s">
        <v>168</v>
      </c>
      <c r="E65" s="11">
        <f>'MEMÓRIA DE CÁLCULO'!D280</f>
        <v>1.2800000000000002</v>
      </c>
      <c r="F65" s="11" t="s">
        <v>10</v>
      </c>
      <c r="G65" s="62" t="s">
        <v>169</v>
      </c>
      <c r="H65" s="62" t="s">
        <v>170</v>
      </c>
      <c r="I65" s="63">
        <f t="shared" si="4"/>
        <v>125.09440000000004</v>
      </c>
      <c r="L65" s="177"/>
    </row>
    <row r="66" spans="1:12" x14ac:dyDescent="0.3">
      <c r="A66" s="75" t="s">
        <v>215</v>
      </c>
      <c r="B66" s="9" t="s">
        <v>8</v>
      </c>
      <c r="C66" s="9">
        <v>70709</v>
      </c>
      <c r="D66" s="65" t="s">
        <v>171</v>
      </c>
      <c r="E66" s="11">
        <f>'MEMÓRIA DE CÁLCULO'!D281</f>
        <v>32</v>
      </c>
      <c r="F66" s="11" t="s">
        <v>99</v>
      </c>
      <c r="G66" s="62" t="s">
        <v>172</v>
      </c>
      <c r="H66" s="62" t="s">
        <v>173</v>
      </c>
      <c r="I66" s="63">
        <f t="shared" si="4"/>
        <v>1495.04</v>
      </c>
      <c r="L66" s="177"/>
    </row>
    <row r="67" spans="1:12" ht="28.5" customHeight="1" x14ac:dyDescent="0.3">
      <c r="A67" s="75" t="s">
        <v>216</v>
      </c>
      <c r="B67" s="9" t="s">
        <v>8</v>
      </c>
      <c r="C67" s="9">
        <v>71196</v>
      </c>
      <c r="D67" s="65" t="s">
        <v>175</v>
      </c>
      <c r="E67" s="11">
        <f>'MEMÓRIA DE CÁLCULO'!D282</f>
        <v>276.43000000000006</v>
      </c>
      <c r="F67" s="11" t="s">
        <v>136</v>
      </c>
      <c r="G67" s="62" t="s">
        <v>176</v>
      </c>
      <c r="H67" s="62" t="s">
        <v>177</v>
      </c>
      <c r="I67" s="63">
        <f t="shared" si="4"/>
        <v>2001.3532000000005</v>
      </c>
      <c r="L67" s="177"/>
    </row>
    <row r="68" spans="1:12" ht="26.25" customHeight="1" x14ac:dyDescent="0.3">
      <c r="A68" s="75" t="s">
        <v>217</v>
      </c>
      <c r="B68" s="9" t="s">
        <v>8</v>
      </c>
      <c r="C68" s="9">
        <v>71197</v>
      </c>
      <c r="D68" s="65" t="s">
        <v>178</v>
      </c>
      <c r="E68" s="11">
        <f>'MEMÓRIA DE CÁLCULO'!D283</f>
        <v>413.37000000000012</v>
      </c>
      <c r="F68" s="11" t="s">
        <v>136</v>
      </c>
      <c r="G68" s="62" t="s">
        <v>179</v>
      </c>
      <c r="H68" s="62" t="s">
        <v>174</v>
      </c>
      <c r="I68" s="63">
        <f t="shared" si="4"/>
        <v>4981.1085000000021</v>
      </c>
      <c r="L68" s="177"/>
    </row>
    <row r="69" spans="1:12" ht="30" customHeight="1" x14ac:dyDescent="0.3">
      <c r="A69" s="75" t="s">
        <v>218</v>
      </c>
      <c r="B69" s="9" t="s">
        <v>8</v>
      </c>
      <c r="C69" s="9">
        <v>71199</v>
      </c>
      <c r="D69" s="65" t="s">
        <v>180</v>
      </c>
      <c r="E69" s="11">
        <f>'MEMÓRIA DE CÁLCULO'!D284</f>
        <v>12.74</v>
      </c>
      <c r="F69" s="11" t="s">
        <v>136</v>
      </c>
      <c r="G69" s="62" t="s">
        <v>181</v>
      </c>
      <c r="H69" s="62" t="s">
        <v>182</v>
      </c>
      <c r="I69" s="63">
        <f t="shared" si="4"/>
        <v>336.71820000000002</v>
      </c>
      <c r="L69" s="177"/>
    </row>
    <row r="70" spans="1:12" x14ac:dyDescent="0.3">
      <c r="A70" s="75" t="s">
        <v>219</v>
      </c>
      <c r="B70" s="9" t="s">
        <v>8</v>
      </c>
      <c r="C70" s="9">
        <v>71291</v>
      </c>
      <c r="D70" s="65" t="s">
        <v>191</v>
      </c>
      <c r="E70" s="11">
        <f>'MEMÓRIA DE CÁLCULO'!D285</f>
        <v>186.88000000000002</v>
      </c>
      <c r="F70" s="11" t="s">
        <v>136</v>
      </c>
      <c r="G70" s="62" t="s">
        <v>192</v>
      </c>
      <c r="H70" s="62" t="s">
        <v>193</v>
      </c>
      <c r="I70" s="63">
        <f t="shared" si="4"/>
        <v>749.38880000000006</v>
      </c>
      <c r="L70" s="177"/>
    </row>
    <row r="71" spans="1:12" x14ac:dyDescent="0.3">
      <c r="A71" s="75" t="s">
        <v>220</v>
      </c>
      <c r="B71" s="9" t="s">
        <v>8</v>
      </c>
      <c r="C71" s="9">
        <v>71292</v>
      </c>
      <c r="D71" s="65" t="s">
        <v>194</v>
      </c>
      <c r="E71" s="11">
        <f>'MEMÓRIA DE CÁLCULO'!D286</f>
        <v>234.23</v>
      </c>
      <c r="F71" s="11" t="s">
        <v>136</v>
      </c>
      <c r="G71" s="62" t="s">
        <v>195</v>
      </c>
      <c r="H71" s="62" t="s">
        <v>196</v>
      </c>
      <c r="I71" s="63">
        <f t="shared" si="4"/>
        <v>1405.3799999999999</v>
      </c>
      <c r="L71" s="177"/>
    </row>
    <row r="72" spans="1:12" x14ac:dyDescent="0.3">
      <c r="A72" s="75" t="s">
        <v>221</v>
      </c>
      <c r="B72" s="9" t="s">
        <v>8</v>
      </c>
      <c r="C72" s="9">
        <v>71293</v>
      </c>
      <c r="D72" s="65" t="s">
        <v>197</v>
      </c>
      <c r="E72" s="11">
        <f>'MEMÓRIA DE CÁLCULO'!D287</f>
        <v>715.42000000000007</v>
      </c>
      <c r="F72" s="11" t="s">
        <v>136</v>
      </c>
      <c r="G72" s="62" t="s">
        <v>198</v>
      </c>
      <c r="H72" s="62" t="s">
        <v>199</v>
      </c>
      <c r="I72" s="63">
        <f t="shared" si="4"/>
        <v>5601.7386000000006</v>
      </c>
      <c r="L72" s="177"/>
    </row>
    <row r="73" spans="1:12" x14ac:dyDescent="0.3">
      <c r="A73" s="75" t="s">
        <v>222</v>
      </c>
      <c r="B73" s="9" t="s">
        <v>8</v>
      </c>
      <c r="C73" s="9">
        <v>71381</v>
      </c>
      <c r="D73" s="65" t="s">
        <v>200</v>
      </c>
      <c r="E73" s="11">
        <f>'MEMÓRIA DE CÁLCULO'!D288</f>
        <v>32</v>
      </c>
      <c r="F73" s="11" t="s">
        <v>99</v>
      </c>
      <c r="G73" s="62" t="s">
        <v>201</v>
      </c>
      <c r="H73" s="62" t="s">
        <v>202</v>
      </c>
      <c r="I73" s="63">
        <f t="shared" si="4"/>
        <v>2339.52</v>
      </c>
      <c r="L73" s="177"/>
    </row>
    <row r="74" spans="1:12" x14ac:dyDescent="0.3">
      <c r="A74" s="75" t="s">
        <v>223</v>
      </c>
      <c r="B74" s="9" t="s">
        <v>8</v>
      </c>
      <c r="C74" s="9">
        <v>71824</v>
      </c>
      <c r="D74" s="65" t="s">
        <v>203</v>
      </c>
      <c r="E74" s="11">
        <f>'MEMÓRIA DE CÁLCULO'!D289</f>
        <v>1</v>
      </c>
      <c r="F74" s="11" t="s">
        <v>99</v>
      </c>
      <c r="G74" s="62" t="s">
        <v>204</v>
      </c>
      <c r="H74" s="62" t="s">
        <v>205</v>
      </c>
      <c r="I74" s="63">
        <f t="shared" si="4"/>
        <v>2226.11</v>
      </c>
      <c r="L74" s="177"/>
    </row>
    <row r="75" spans="1:12" ht="39.6" x14ac:dyDescent="0.3">
      <c r="A75" s="75" t="s">
        <v>224</v>
      </c>
      <c r="B75" s="9" t="s">
        <v>8</v>
      </c>
      <c r="C75" s="9">
        <v>71991</v>
      </c>
      <c r="D75" s="65" t="s">
        <v>504</v>
      </c>
      <c r="E75" s="11">
        <f>'MEMÓRIA DE CÁLCULO'!D290</f>
        <v>17</v>
      </c>
      <c r="F75" s="11" t="s">
        <v>99</v>
      </c>
      <c r="G75" s="62" t="s">
        <v>206</v>
      </c>
      <c r="H75" s="62" t="s">
        <v>207</v>
      </c>
      <c r="I75" s="63">
        <f t="shared" si="4"/>
        <v>25107.98</v>
      </c>
      <c r="L75" s="177"/>
    </row>
    <row r="76" spans="1:12" x14ac:dyDescent="0.3">
      <c r="A76" s="75" t="s">
        <v>225</v>
      </c>
      <c r="B76" s="9" t="s">
        <v>8</v>
      </c>
      <c r="C76" s="9">
        <v>72320</v>
      </c>
      <c r="D76" s="65" t="s">
        <v>208</v>
      </c>
      <c r="E76" s="11">
        <f>'MEMÓRIA DE CÁLCULO'!D291</f>
        <v>39</v>
      </c>
      <c r="F76" s="11" t="s">
        <v>99</v>
      </c>
      <c r="G76" s="62" t="s">
        <v>209</v>
      </c>
      <c r="H76" s="62" t="s">
        <v>210</v>
      </c>
      <c r="I76" s="63">
        <f t="shared" si="4"/>
        <v>2371.1999999999998</v>
      </c>
      <c r="L76" s="177"/>
    </row>
    <row r="77" spans="1:12" x14ac:dyDescent="0.3">
      <c r="A77" s="75" t="s">
        <v>226</v>
      </c>
      <c r="B77" s="9" t="s">
        <v>118</v>
      </c>
      <c r="C77" s="128">
        <v>39389</v>
      </c>
      <c r="D77" s="65" t="s">
        <v>233</v>
      </c>
      <c r="E77" s="11">
        <f>'MEMÓRIA DE CÁLCULO'!D292</f>
        <v>10</v>
      </c>
      <c r="F77" s="11" t="s">
        <v>99</v>
      </c>
      <c r="G77" s="129">
        <v>22.31</v>
      </c>
      <c r="H77" s="130"/>
      <c r="I77" s="63">
        <f t="shared" si="4"/>
        <v>223.1</v>
      </c>
      <c r="L77" s="177"/>
    </row>
    <row r="78" spans="1:12" x14ac:dyDescent="0.3">
      <c r="A78" s="75" t="s">
        <v>234</v>
      </c>
      <c r="B78" s="9" t="s">
        <v>118</v>
      </c>
      <c r="C78" s="9">
        <v>39391</v>
      </c>
      <c r="D78" s="65" t="s">
        <v>236</v>
      </c>
      <c r="E78" s="11">
        <f>'MEMÓRIA DE CÁLCULO'!D293</f>
        <v>10</v>
      </c>
      <c r="F78" s="11" t="s">
        <v>99</v>
      </c>
      <c r="G78" s="129">
        <v>52.51</v>
      </c>
      <c r="H78" s="130"/>
      <c r="I78" s="63">
        <f t="shared" si="4"/>
        <v>525.1</v>
      </c>
      <c r="L78" s="177"/>
    </row>
    <row r="79" spans="1:12" ht="26.4" x14ac:dyDescent="0.3">
      <c r="A79" s="75" t="s">
        <v>235</v>
      </c>
      <c r="B79" s="9" t="s">
        <v>29</v>
      </c>
      <c r="C79" s="9">
        <v>101657</v>
      </c>
      <c r="D79" s="65" t="s">
        <v>237</v>
      </c>
      <c r="E79" s="11">
        <f>'MEMÓRIA DE CÁLCULO'!D294</f>
        <v>36</v>
      </c>
      <c r="F79" s="9" t="s">
        <v>238</v>
      </c>
      <c r="G79" s="129">
        <v>622.09</v>
      </c>
      <c r="H79" s="130"/>
      <c r="I79" s="63">
        <f t="shared" si="4"/>
        <v>22395.24</v>
      </c>
      <c r="L79" s="177"/>
    </row>
    <row r="80" spans="1:12" x14ac:dyDescent="0.3">
      <c r="A80" s="75" t="s">
        <v>240</v>
      </c>
      <c r="B80" s="9" t="s">
        <v>8</v>
      </c>
      <c r="C80" s="9">
        <v>72369</v>
      </c>
      <c r="D80" s="65" t="s">
        <v>239</v>
      </c>
      <c r="E80" s="11">
        <f>'MEMÓRIA DE CÁLCULO'!D295</f>
        <v>9</v>
      </c>
      <c r="F80" s="9" t="s">
        <v>99</v>
      </c>
      <c r="G80" s="62">
        <v>147.04</v>
      </c>
      <c r="H80" s="62">
        <v>6.4</v>
      </c>
      <c r="I80" s="63">
        <f t="shared" si="4"/>
        <v>1380.96</v>
      </c>
      <c r="L80" s="177"/>
    </row>
    <row r="81" spans="1:12" s="202" customFormat="1" ht="15" thickBot="1" x14ac:dyDescent="0.35">
      <c r="A81" s="74" t="s">
        <v>269</v>
      </c>
      <c r="B81" s="9" t="s">
        <v>312</v>
      </c>
      <c r="C81" s="9">
        <v>2</v>
      </c>
      <c r="D81" s="108" t="s">
        <v>268</v>
      </c>
      <c r="E81" s="109">
        <f>'MEMÓRIA DE CÁLCULO'!D296</f>
        <v>23</v>
      </c>
      <c r="F81" s="107" t="s">
        <v>469</v>
      </c>
      <c r="G81" s="144">
        <f>COMPOSIÇÃO!I31</f>
        <v>4132.8675000000003</v>
      </c>
      <c r="H81" s="145"/>
      <c r="I81" s="63">
        <f t="shared" si="4"/>
        <v>95055.952500000014</v>
      </c>
      <c r="J81" s="200"/>
      <c r="K81" s="200"/>
      <c r="L81" s="200"/>
    </row>
    <row r="82" spans="1:12" ht="15" thickBot="1" x14ac:dyDescent="0.35">
      <c r="A82" s="135" t="s">
        <v>61</v>
      </c>
      <c r="B82" s="136"/>
      <c r="C82" s="136"/>
      <c r="D82" s="136"/>
      <c r="E82" s="136"/>
      <c r="F82" s="136"/>
      <c r="G82" s="136"/>
      <c r="H82" s="136"/>
      <c r="I82" s="72">
        <f>ROUND(SUM(I62:I81),2)</f>
        <v>190579.35</v>
      </c>
      <c r="J82" s="223">
        <f>I82*1.2388</f>
        <v>236089.69877999998</v>
      </c>
      <c r="K82" s="177">
        <f>H82*E82</f>
        <v>0</v>
      </c>
      <c r="L82" s="177">
        <f>K82+J82</f>
        <v>236089.69877999998</v>
      </c>
    </row>
    <row r="83" spans="1:12" ht="15" thickBot="1" x14ac:dyDescent="0.35">
      <c r="A83" s="50" t="s">
        <v>1</v>
      </c>
      <c r="B83" s="50" t="s">
        <v>53</v>
      </c>
      <c r="C83" s="50" t="s">
        <v>54</v>
      </c>
      <c r="D83" s="73" t="s">
        <v>2</v>
      </c>
      <c r="E83" s="50" t="s">
        <v>3</v>
      </c>
      <c r="F83" s="50" t="s">
        <v>4</v>
      </c>
      <c r="G83" s="55" t="s">
        <v>5</v>
      </c>
      <c r="H83" s="55" t="s">
        <v>6</v>
      </c>
      <c r="I83" s="70" t="s">
        <v>7</v>
      </c>
      <c r="L83" s="177"/>
    </row>
    <row r="84" spans="1:12" x14ac:dyDescent="0.3">
      <c r="A84" s="57">
        <v>7</v>
      </c>
      <c r="B84" s="58" t="s">
        <v>14</v>
      </c>
      <c r="C84" s="58">
        <v>80000</v>
      </c>
      <c r="D84" s="133" t="s">
        <v>18</v>
      </c>
      <c r="E84" s="133"/>
      <c r="F84" s="133"/>
      <c r="G84" s="133"/>
      <c r="H84" s="133"/>
      <c r="I84" s="134"/>
      <c r="J84" s="177">
        <f>G84*E84</f>
        <v>0</v>
      </c>
      <c r="K84" s="177">
        <f>H84*E84</f>
        <v>0</v>
      </c>
      <c r="L84" s="177">
        <f>K84+J84</f>
        <v>0</v>
      </c>
    </row>
    <row r="85" spans="1:12" ht="15.75" customHeight="1" x14ac:dyDescent="0.3">
      <c r="A85" s="75" t="s">
        <v>460</v>
      </c>
      <c r="B85" s="107" t="s">
        <v>8</v>
      </c>
      <c r="C85" s="266">
        <v>80811</v>
      </c>
      <c r="D85" s="108" t="s">
        <v>454</v>
      </c>
      <c r="E85" s="109">
        <f>'MEMÓRIA DE CÁLCULO'!D299</f>
        <v>2</v>
      </c>
      <c r="F85" s="109" t="s">
        <v>99</v>
      </c>
      <c r="G85" s="78">
        <v>52.5</v>
      </c>
      <c r="H85" s="76">
        <v>5.12</v>
      </c>
      <c r="I85" s="63">
        <f t="shared" ref="I85:I90" si="5">(H85+G85)*E85</f>
        <v>115.24</v>
      </c>
      <c r="L85" s="177"/>
    </row>
    <row r="86" spans="1:12" x14ac:dyDescent="0.3">
      <c r="A86" s="75" t="s">
        <v>461</v>
      </c>
      <c r="B86" s="107" t="s">
        <v>8</v>
      </c>
      <c r="C86" s="266">
        <v>81003</v>
      </c>
      <c r="D86" s="108" t="s">
        <v>455</v>
      </c>
      <c r="E86" s="109">
        <f>'MEMÓRIA DE CÁLCULO'!D300</f>
        <v>59.85</v>
      </c>
      <c r="F86" s="109" t="s">
        <v>136</v>
      </c>
      <c r="G86" s="76">
        <v>4.37</v>
      </c>
      <c r="H86" s="76">
        <v>3.08</v>
      </c>
      <c r="I86" s="63">
        <f t="shared" si="5"/>
        <v>445.88249999999999</v>
      </c>
      <c r="L86" s="177"/>
    </row>
    <row r="87" spans="1:12" x14ac:dyDescent="0.3">
      <c r="A87" s="75" t="s">
        <v>462</v>
      </c>
      <c r="B87" s="107" t="s">
        <v>8</v>
      </c>
      <c r="C87" s="266">
        <v>81321</v>
      </c>
      <c r="D87" s="108" t="s">
        <v>456</v>
      </c>
      <c r="E87" s="109">
        <f>'MEMÓRIA DE CÁLCULO'!D301</f>
        <v>7</v>
      </c>
      <c r="F87" s="109" t="s">
        <v>99</v>
      </c>
      <c r="G87" s="76">
        <v>0.85</v>
      </c>
      <c r="H87" s="76">
        <v>4.6100000000000003</v>
      </c>
      <c r="I87" s="63">
        <f t="shared" si="5"/>
        <v>38.22</v>
      </c>
      <c r="L87" s="177"/>
    </row>
    <row r="88" spans="1:12" x14ac:dyDescent="0.3">
      <c r="A88" s="75" t="s">
        <v>463</v>
      </c>
      <c r="B88" s="107" t="s">
        <v>8</v>
      </c>
      <c r="C88" s="266">
        <v>81402</v>
      </c>
      <c r="D88" s="108" t="s">
        <v>457</v>
      </c>
      <c r="E88" s="109">
        <f>'MEMÓRIA DE CÁLCULO'!D302</f>
        <v>1</v>
      </c>
      <c r="F88" s="109" t="s">
        <v>99</v>
      </c>
      <c r="G88" s="78">
        <v>1.44</v>
      </c>
      <c r="H88" s="76">
        <v>4.8600000000000003</v>
      </c>
      <c r="I88" s="63">
        <f t="shared" si="5"/>
        <v>6.3000000000000007</v>
      </c>
      <c r="L88" s="177"/>
    </row>
    <row r="89" spans="1:12" x14ac:dyDescent="0.3">
      <c r="A89" s="75" t="s">
        <v>464</v>
      </c>
      <c r="B89" s="107" t="s">
        <v>8</v>
      </c>
      <c r="C89" s="107">
        <v>81462</v>
      </c>
      <c r="D89" s="108" t="s">
        <v>458</v>
      </c>
      <c r="E89" s="109">
        <f>'MEMÓRIA DE CÁLCULO'!D303</f>
        <v>9</v>
      </c>
      <c r="F89" s="109" t="s">
        <v>99</v>
      </c>
      <c r="G89" s="78">
        <v>10.37</v>
      </c>
      <c r="H89" s="78">
        <v>2.31</v>
      </c>
      <c r="I89" s="63">
        <f t="shared" si="5"/>
        <v>114.12</v>
      </c>
      <c r="L89" s="177"/>
    </row>
    <row r="90" spans="1:12" ht="15" thickBot="1" x14ac:dyDescent="0.35">
      <c r="A90" s="75" t="s">
        <v>465</v>
      </c>
      <c r="B90" s="107" t="s">
        <v>8</v>
      </c>
      <c r="C90" s="107">
        <v>81811</v>
      </c>
      <c r="D90" s="108" t="s">
        <v>459</v>
      </c>
      <c r="E90" s="109">
        <f>'MEMÓRIA DE CÁLCULO'!D304</f>
        <v>1</v>
      </c>
      <c r="F90" s="109" t="s">
        <v>99</v>
      </c>
      <c r="G90" s="78">
        <v>86.54</v>
      </c>
      <c r="H90" s="78">
        <v>12.81</v>
      </c>
      <c r="I90" s="63">
        <f t="shared" si="5"/>
        <v>99.350000000000009</v>
      </c>
      <c r="L90" s="177"/>
    </row>
    <row r="91" spans="1:12" ht="15" thickBot="1" x14ac:dyDescent="0.35">
      <c r="A91" s="135" t="s">
        <v>61</v>
      </c>
      <c r="B91" s="136"/>
      <c r="C91" s="136"/>
      <c r="D91" s="136"/>
      <c r="E91" s="136"/>
      <c r="F91" s="136"/>
      <c r="G91" s="136"/>
      <c r="H91" s="136"/>
      <c r="I91" s="72">
        <f>ROUND(SUM(I85:I90),2)</f>
        <v>819.11</v>
      </c>
      <c r="J91" s="223">
        <f>I91*1.2388</f>
        <v>1014.7134679999999</v>
      </c>
      <c r="K91" s="223">
        <f>H91*E91</f>
        <v>0</v>
      </c>
      <c r="L91" s="223">
        <f>K91+J91</f>
        <v>1014.7134679999999</v>
      </c>
    </row>
    <row r="92" spans="1:12" ht="15" thickBot="1" x14ac:dyDescent="0.35">
      <c r="A92" s="50" t="s">
        <v>1</v>
      </c>
      <c r="B92" s="50" t="s">
        <v>53</v>
      </c>
      <c r="C92" s="50" t="s">
        <v>54</v>
      </c>
      <c r="D92" s="73" t="s">
        <v>2</v>
      </c>
      <c r="E92" s="50" t="s">
        <v>3</v>
      </c>
      <c r="F92" s="50" t="s">
        <v>4</v>
      </c>
      <c r="G92" s="55" t="s">
        <v>5</v>
      </c>
      <c r="H92" s="55" t="s">
        <v>6</v>
      </c>
      <c r="I92" s="70" t="s">
        <v>7</v>
      </c>
      <c r="J92" s="223"/>
      <c r="K92" s="223"/>
      <c r="L92" s="223"/>
    </row>
    <row r="93" spans="1:12" x14ac:dyDescent="0.3">
      <c r="A93" s="57">
        <v>8</v>
      </c>
      <c r="B93" s="58" t="s">
        <v>8</v>
      </c>
      <c r="C93" s="58">
        <v>100000</v>
      </c>
      <c r="D93" s="133" t="s">
        <v>398</v>
      </c>
      <c r="E93" s="133"/>
      <c r="F93" s="133"/>
      <c r="G93" s="133"/>
      <c r="H93" s="133"/>
      <c r="I93" s="134"/>
      <c r="J93" s="223">
        <f>G93*E93</f>
        <v>0</v>
      </c>
      <c r="K93" s="223">
        <f>H93*E93</f>
        <v>0</v>
      </c>
      <c r="L93" s="223">
        <f>K93+J93</f>
        <v>0</v>
      </c>
    </row>
    <row r="94" spans="1:12" ht="27" thickBot="1" x14ac:dyDescent="0.35">
      <c r="A94" s="75" t="s">
        <v>475</v>
      </c>
      <c r="B94" s="9" t="s">
        <v>8</v>
      </c>
      <c r="C94" s="9">
        <v>100160</v>
      </c>
      <c r="D94" s="65" t="s">
        <v>399</v>
      </c>
      <c r="E94" s="11">
        <f>'MEMÓRIA DE CÁLCULO'!D315</f>
        <v>112.75200000000001</v>
      </c>
      <c r="F94" s="11" t="s">
        <v>10</v>
      </c>
      <c r="G94" s="62">
        <v>16</v>
      </c>
      <c r="H94" s="62">
        <v>20.07</v>
      </c>
      <c r="I94" s="63">
        <f t="shared" ref="I94" si="6">(H94+G94)*E94</f>
        <v>4066.9646400000006</v>
      </c>
      <c r="J94" s="223"/>
      <c r="K94" s="223"/>
      <c r="L94" s="223"/>
    </row>
    <row r="95" spans="1:12" ht="15" thickBot="1" x14ac:dyDescent="0.35">
      <c r="A95" s="135" t="s">
        <v>61</v>
      </c>
      <c r="B95" s="136"/>
      <c r="C95" s="136"/>
      <c r="D95" s="136"/>
      <c r="E95" s="136"/>
      <c r="F95" s="136"/>
      <c r="G95" s="136"/>
      <c r="H95" s="136"/>
      <c r="I95" s="72">
        <f>SUM(I94:I94)</f>
        <v>4066.9646400000006</v>
      </c>
      <c r="J95" s="223">
        <f>I95*1.2388</f>
        <v>5038.1557960320006</v>
      </c>
      <c r="K95" s="223">
        <f>H95*E95</f>
        <v>0</v>
      </c>
      <c r="L95" s="223">
        <f>K95+J95</f>
        <v>5038.1557960320006</v>
      </c>
    </row>
    <row r="96" spans="1:12" ht="15" thickBot="1" x14ac:dyDescent="0.35">
      <c r="A96" s="50" t="s">
        <v>1</v>
      </c>
      <c r="B96" s="50" t="s">
        <v>53</v>
      </c>
      <c r="C96" s="50" t="s">
        <v>54</v>
      </c>
      <c r="D96" s="73" t="s">
        <v>2</v>
      </c>
      <c r="E96" s="50" t="s">
        <v>3</v>
      </c>
      <c r="F96" s="50" t="s">
        <v>4</v>
      </c>
      <c r="G96" s="55" t="s">
        <v>5</v>
      </c>
      <c r="H96" s="55" t="s">
        <v>6</v>
      </c>
      <c r="I96" s="70" t="s">
        <v>7</v>
      </c>
      <c r="J96" s="223"/>
      <c r="K96" s="223"/>
      <c r="L96" s="223"/>
    </row>
    <row r="97" spans="1:12" x14ac:dyDescent="0.3">
      <c r="A97" s="57">
        <v>9</v>
      </c>
      <c r="B97" s="58" t="s">
        <v>8</v>
      </c>
      <c r="C97" s="58">
        <v>110000</v>
      </c>
      <c r="D97" s="133" t="s">
        <v>270</v>
      </c>
      <c r="E97" s="133"/>
      <c r="F97" s="133"/>
      <c r="G97" s="133"/>
      <c r="H97" s="133"/>
      <c r="I97" s="134"/>
      <c r="J97" s="223">
        <f>G97*E97</f>
        <v>0</v>
      </c>
      <c r="K97" s="223">
        <f>H97*E97</f>
        <v>0</v>
      </c>
      <c r="L97" s="223">
        <f>K97+J97</f>
        <v>0</v>
      </c>
    </row>
    <row r="98" spans="1:12" ht="26.4" x14ac:dyDescent="0.3">
      <c r="A98" s="75" t="s">
        <v>273</v>
      </c>
      <c r="B98" s="9" t="s">
        <v>8</v>
      </c>
      <c r="C98" s="9">
        <v>110106</v>
      </c>
      <c r="D98" s="65" t="s">
        <v>519</v>
      </c>
      <c r="E98" s="11">
        <f>'MEMÓRIA DE CÁLCULO'!D323</f>
        <v>5.2896000000000001</v>
      </c>
      <c r="F98" s="11" t="s">
        <v>10</v>
      </c>
      <c r="G98" s="62">
        <v>48.99</v>
      </c>
      <c r="H98" s="62">
        <v>18.440000000000001</v>
      </c>
      <c r="I98" s="63">
        <f t="shared" ref="I98:I99" si="7">(H98+G98)*E98</f>
        <v>356.67772800000006</v>
      </c>
      <c r="J98" s="223"/>
      <c r="K98" s="223"/>
      <c r="L98" s="223"/>
    </row>
    <row r="99" spans="1:12" ht="40.200000000000003" thickBot="1" x14ac:dyDescent="0.35">
      <c r="A99" s="75" t="s">
        <v>274</v>
      </c>
      <c r="B99" s="9" t="s">
        <v>271</v>
      </c>
      <c r="C99" s="9">
        <v>87449</v>
      </c>
      <c r="D99" s="65" t="s">
        <v>503</v>
      </c>
      <c r="E99" s="11">
        <f>'MEMÓRIA DE CÁLCULO'!D333</f>
        <v>13.224</v>
      </c>
      <c r="F99" s="9" t="s">
        <v>252</v>
      </c>
      <c r="G99" s="129">
        <v>71.69</v>
      </c>
      <c r="H99" s="130"/>
      <c r="I99" s="63">
        <f t="shared" si="7"/>
        <v>948.02855999999997</v>
      </c>
      <c r="J99" s="223"/>
      <c r="K99" s="223"/>
      <c r="L99" s="223"/>
    </row>
    <row r="100" spans="1:12" ht="15" thickBot="1" x14ac:dyDescent="0.35">
      <c r="A100" s="135" t="s">
        <v>61</v>
      </c>
      <c r="B100" s="136"/>
      <c r="C100" s="136"/>
      <c r="D100" s="136"/>
      <c r="E100" s="136"/>
      <c r="F100" s="136"/>
      <c r="G100" s="136"/>
      <c r="H100" s="136"/>
      <c r="I100" s="72">
        <f>SUM(I98:I99)</f>
        <v>1304.7062880000001</v>
      </c>
      <c r="J100" s="223">
        <f>I100*1.2388</f>
        <v>1616.2701495744</v>
      </c>
      <c r="K100" s="223">
        <f>H100*E100</f>
        <v>0</v>
      </c>
      <c r="L100" s="223">
        <f>K100+J100</f>
        <v>1616.2701495744</v>
      </c>
    </row>
    <row r="101" spans="1:12" ht="15" thickBot="1" x14ac:dyDescent="0.35">
      <c r="A101" s="50" t="s">
        <v>1</v>
      </c>
      <c r="B101" s="50" t="s">
        <v>53</v>
      </c>
      <c r="C101" s="50" t="s">
        <v>54</v>
      </c>
      <c r="D101" s="73" t="s">
        <v>2</v>
      </c>
      <c r="E101" s="50" t="s">
        <v>3</v>
      </c>
      <c r="F101" s="50" t="s">
        <v>4</v>
      </c>
      <c r="G101" s="55" t="s">
        <v>5</v>
      </c>
      <c r="H101" s="55" t="s">
        <v>6</v>
      </c>
      <c r="I101" s="70" t="s">
        <v>7</v>
      </c>
      <c r="J101" s="223"/>
      <c r="K101" s="223"/>
      <c r="L101" s="223"/>
    </row>
    <row r="102" spans="1:12" x14ac:dyDescent="0.3">
      <c r="A102" s="57">
        <v>10</v>
      </c>
      <c r="B102" s="58" t="s">
        <v>8</v>
      </c>
      <c r="C102" s="58">
        <v>120000</v>
      </c>
      <c r="D102" s="133" t="s">
        <v>19</v>
      </c>
      <c r="E102" s="133"/>
      <c r="F102" s="133"/>
      <c r="G102" s="133"/>
      <c r="H102" s="133"/>
      <c r="I102" s="134"/>
      <c r="J102" s="223">
        <f>G102*E102</f>
        <v>0</v>
      </c>
      <c r="K102" s="223">
        <f>H102*E102</f>
        <v>0</v>
      </c>
      <c r="L102" s="223">
        <f>K102+J102</f>
        <v>0</v>
      </c>
    </row>
    <row r="103" spans="1:12" x14ac:dyDescent="0.3">
      <c r="A103" s="75" t="s">
        <v>278</v>
      </c>
      <c r="B103" s="9" t="s">
        <v>8</v>
      </c>
      <c r="C103" s="9">
        <v>120901</v>
      </c>
      <c r="D103" s="65" t="s">
        <v>276</v>
      </c>
      <c r="E103" s="79">
        <f>'MEMÓRIA DE CÁLCULO'!D345</f>
        <v>19.461600000000001</v>
      </c>
      <c r="F103" s="11" t="s">
        <v>10</v>
      </c>
      <c r="G103" s="62">
        <v>58.85</v>
      </c>
      <c r="H103" s="62">
        <v>24.2</v>
      </c>
      <c r="I103" s="63">
        <f t="shared" ref="I103:I104" si="8">(H103+G103)*E103</f>
        <v>1616.2858799999999</v>
      </c>
      <c r="J103" s="223"/>
      <c r="K103" s="223"/>
      <c r="L103" s="223"/>
    </row>
    <row r="104" spans="1:12" ht="25.5" customHeight="1" x14ac:dyDescent="0.3">
      <c r="A104" s="75" t="s">
        <v>279</v>
      </c>
      <c r="B104" s="9" t="s">
        <v>8</v>
      </c>
      <c r="C104" s="9">
        <v>121101</v>
      </c>
      <c r="D104" s="65" t="s">
        <v>277</v>
      </c>
      <c r="E104" s="79">
        <f>'MEMÓRIA DE CÁLCULO'!D350</f>
        <v>168.095</v>
      </c>
      <c r="F104" s="11" t="s">
        <v>10</v>
      </c>
      <c r="G104" s="62">
        <v>7.8</v>
      </c>
      <c r="H104" s="62">
        <v>1.89</v>
      </c>
      <c r="I104" s="63">
        <f t="shared" si="8"/>
        <v>1628.8405499999999</v>
      </c>
      <c r="J104" s="223"/>
      <c r="K104" s="223"/>
      <c r="L104" s="223"/>
    </row>
    <row r="105" spans="1:12" ht="15" thickBot="1" x14ac:dyDescent="0.35">
      <c r="A105" s="75" t="s">
        <v>404</v>
      </c>
      <c r="B105" s="9" t="s">
        <v>8</v>
      </c>
      <c r="C105" s="9">
        <v>120902</v>
      </c>
      <c r="D105" s="65" t="s">
        <v>406</v>
      </c>
      <c r="E105" s="79">
        <f>'MEMÓRIA DE CÁLCULO'!D354</f>
        <v>43.947199999999995</v>
      </c>
      <c r="F105" s="79" t="s">
        <v>10</v>
      </c>
      <c r="G105" s="62">
        <v>10.029999999999999</v>
      </c>
      <c r="H105" s="62">
        <v>15.67</v>
      </c>
      <c r="I105" s="63">
        <f t="shared" ref="I105" si="9">(H105+G105)*E105</f>
        <v>1129.4430399999999</v>
      </c>
      <c r="J105" s="223"/>
      <c r="K105" s="223"/>
      <c r="L105" s="223"/>
    </row>
    <row r="106" spans="1:12" ht="15" thickBot="1" x14ac:dyDescent="0.35">
      <c r="A106" s="135" t="s">
        <v>61</v>
      </c>
      <c r="B106" s="136"/>
      <c r="C106" s="136"/>
      <c r="D106" s="136"/>
      <c r="E106" s="136"/>
      <c r="F106" s="136"/>
      <c r="G106" s="136"/>
      <c r="H106" s="136"/>
      <c r="I106" s="72">
        <f>ROUND(SUM(I103:I105),2)</f>
        <v>4374.57</v>
      </c>
      <c r="J106" s="223">
        <f>I106*1.2388</f>
        <v>5419.2173159999993</v>
      </c>
      <c r="K106" s="223">
        <f>H106*E106</f>
        <v>0</v>
      </c>
      <c r="L106" s="223">
        <f>K106+J106</f>
        <v>5419.2173159999993</v>
      </c>
    </row>
    <row r="107" spans="1:12" ht="16.5" customHeight="1" thickBot="1" x14ac:dyDescent="0.35">
      <c r="A107" s="80" t="s">
        <v>20</v>
      </c>
      <c r="B107" s="5"/>
      <c r="C107" s="5"/>
      <c r="D107" s="42"/>
      <c r="E107" s="5"/>
      <c r="F107" s="5"/>
      <c r="G107" s="81"/>
      <c r="H107" s="81"/>
      <c r="I107" s="82"/>
      <c r="J107" s="223">
        <f>G107*E107</f>
        <v>0</v>
      </c>
      <c r="K107" s="223">
        <f>H107*E107</f>
        <v>0</v>
      </c>
      <c r="L107" s="223">
        <f>K107+J107</f>
        <v>0</v>
      </c>
    </row>
    <row r="108" spans="1:12" ht="16.5" customHeight="1" x14ac:dyDescent="0.3">
      <c r="A108" s="83">
        <v>11</v>
      </c>
      <c r="B108" s="84" t="s">
        <v>8</v>
      </c>
      <c r="C108" s="84">
        <v>140000</v>
      </c>
      <c r="D108" s="85" t="s">
        <v>21</v>
      </c>
      <c r="E108" s="86"/>
      <c r="F108" s="86"/>
      <c r="G108" s="87"/>
      <c r="H108" s="87"/>
      <c r="I108" s="88"/>
      <c r="J108" s="223">
        <f>G108*E108</f>
        <v>0</v>
      </c>
      <c r="K108" s="223">
        <f>H108*E108</f>
        <v>0</v>
      </c>
      <c r="L108" s="223">
        <f>K108+J108</f>
        <v>0</v>
      </c>
    </row>
    <row r="109" spans="1:12" ht="16.5" customHeight="1" x14ac:dyDescent="0.3">
      <c r="A109" s="89" t="s">
        <v>284</v>
      </c>
      <c r="B109" s="89" t="s">
        <v>285</v>
      </c>
      <c r="C109" s="89">
        <v>2132</v>
      </c>
      <c r="D109" s="90" t="s">
        <v>282</v>
      </c>
      <c r="E109" s="79">
        <f>'MEMÓRIA DE CÁLCULO'!D361</f>
        <v>27</v>
      </c>
      <c r="F109" s="89" t="s">
        <v>283</v>
      </c>
      <c r="G109" s="131">
        <v>28.52</v>
      </c>
      <c r="H109" s="132"/>
      <c r="I109" s="63">
        <f t="shared" ref="I109:I110" si="10">(H109+G109)*E109</f>
        <v>770.04</v>
      </c>
      <c r="J109" s="223"/>
      <c r="K109" s="223"/>
      <c r="L109" s="223"/>
    </row>
    <row r="110" spans="1:12" ht="27" thickBot="1" x14ac:dyDescent="0.35">
      <c r="A110" s="89" t="s">
        <v>287</v>
      </c>
      <c r="B110" s="89" t="s">
        <v>118</v>
      </c>
      <c r="C110" s="89">
        <v>35275</v>
      </c>
      <c r="D110" s="90" t="s">
        <v>286</v>
      </c>
      <c r="E110" s="79">
        <f>'MEMÓRIA DE CÁLCULO'!D367</f>
        <v>54</v>
      </c>
      <c r="F110" s="89" t="s">
        <v>136</v>
      </c>
      <c r="G110" s="138">
        <v>110.67</v>
      </c>
      <c r="H110" s="139"/>
      <c r="I110" s="63">
        <f t="shared" si="10"/>
        <v>5976.18</v>
      </c>
      <c r="J110" s="223"/>
      <c r="K110" s="223"/>
      <c r="L110" s="223"/>
    </row>
    <row r="111" spans="1:12" ht="15" thickBot="1" x14ac:dyDescent="0.35">
      <c r="A111" s="135" t="s">
        <v>61</v>
      </c>
      <c r="B111" s="136"/>
      <c r="C111" s="136"/>
      <c r="D111" s="136"/>
      <c r="E111" s="136"/>
      <c r="F111" s="136"/>
      <c r="G111" s="136"/>
      <c r="H111" s="136"/>
      <c r="I111" s="72">
        <f>ROUND(SUM(I109:I110),2)</f>
        <v>6746.22</v>
      </c>
      <c r="J111" s="223">
        <f>I111*1.2388</f>
        <v>8357.2173359999997</v>
      </c>
      <c r="K111" s="223">
        <f>H111*E111</f>
        <v>0</v>
      </c>
      <c r="L111" s="223">
        <f>K111+J111</f>
        <v>8357.2173359999997</v>
      </c>
    </row>
    <row r="112" spans="1:12" ht="15" thickBot="1" x14ac:dyDescent="0.35">
      <c r="A112" s="50" t="s">
        <v>1</v>
      </c>
      <c r="B112" s="50" t="s">
        <v>53</v>
      </c>
      <c r="C112" s="50" t="s">
        <v>54</v>
      </c>
      <c r="D112" s="73" t="s">
        <v>2</v>
      </c>
      <c r="E112" s="50" t="s">
        <v>3</v>
      </c>
      <c r="F112" s="50" t="s">
        <v>4</v>
      </c>
      <c r="G112" s="55" t="s">
        <v>5</v>
      </c>
      <c r="H112" s="55" t="s">
        <v>6</v>
      </c>
      <c r="I112" s="70" t="s">
        <v>7</v>
      </c>
      <c r="J112" s="223"/>
      <c r="K112" s="223"/>
      <c r="L112" s="223"/>
    </row>
    <row r="113" spans="1:12" ht="31.5" customHeight="1" x14ac:dyDescent="0.3">
      <c r="A113" s="57">
        <v>12</v>
      </c>
      <c r="B113" s="58" t="s">
        <v>8</v>
      </c>
      <c r="C113" s="58">
        <v>180000</v>
      </c>
      <c r="D113" s="137" t="s">
        <v>447</v>
      </c>
      <c r="E113" s="133"/>
      <c r="F113" s="133"/>
      <c r="G113" s="133"/>
      <c r="H113" s="133"/>
      <c r="I113" s="134"/>
      <c r="J113" s="223">
        <f>G113*E113</f>
        <v>0</v>
      </c>
      <c r="K113" s="223">
        <f>H113*E113</f>
        <v>0</v>
      </c>
      <c r="L113" s="223">
        <f>K113+J113</f>
        <v>0</v>
      </c>
    </row>
    <row r="114" spans="1:12" x14ac:dyDescent="0.3">
      <c r="A114" s="75" t="s">
        <v>294</v>
      </c>
      <c r="B114" s="9" t="s">
        <v>8</v>
      </c>
      <c r="C114" s="9">
        <v>180312</v>
      </c>
      <c r="D114" s="65" t="s">
        <v>443</v>
      </c>
      <c r="E114" s="11">
        <f>'MEMÓRIA DE CÁLCULO'!D373</f>
        <v>114.02600000000001</v>
      </c>
      <c r="F114" s="9" t="s">
        <v>444</v>
      </c>
      <c r="G114" s="62">
        <v>215.15</v>
      </c>
      <c r="H114" s="91">
        <v>20.010000000000002</v>
      </c>
      <c r="I114" s="63">
        <f t="shared" ref="I114:I115" si="11">(H114+G114)*E114</f>
        <v>26814.354160000003</v>
      </c>
      <c r="J114" s="223"/>
      <c r="K114" s="223"/>
      <c r="L114" s="223"/>
    </row>
    <row r="115" spans="1:12" ht="15" thickBot="1" x14ac:dyDescent="0.35">
      <c r="A115" s="75" t="s">
        <v>446</v>
      </c>
      <c r="B115" s="9" t="s">
        <v>8</v>
      </c>
      <c r="C115" s="9">
        <v>180318</v>
      </c>
      <c r="D115" s="65" t="s">
        <v>445</v>
      </c>
      <c r="E115" s="11">
        <f>'MEMÓRIA DE CÁLCULO'!D376</f>
        <v>2.5</v>
      </c>
      <c r="F115" s="9" t="s">
        <v>136</v>
      </c>
      <c r="G115" s="62">
        <v>293.27</v>
      </c>
      <c r="H115" s="91">
        <v>3.42</v>
      </c>
      <c r="I115" s="63">
        <f t="shared" si="11"/>
        <v>741.72500000000002</v>
      </c>
      <c r="J115" s="223"/>
      <c r="K115" s="223"/>
      <c r="L115" s="223"/>
    </row>
    <row r="116" spans="1:12" ht="15" thickBot="1" x14ac:dyDescent="0.35">
      <c r="A116" s="135" t="s">
        <v>61</v>
      </c>
      <c r="B116" s="136"/>
      <c r="C116" s="136"/>
      <c r="D116" s="136"/>
      <c r="E116" s="136"/>
      <c r="F116" s="136"/>
      <c r="G116" s="136"/>
      <c r="H116" s="136"/>
      <c r="I116" s="72">
        <f>ROUND(SUM(I114:I115),2)</f>
        <v>27556.080000000002</v>
      </c>
      <c r="J116" s="223">
        <f>I116*1.2388</f>
        <v>34136.471903999998</v>
      </c>
      <c r="K116" s="223">
        <f>H116*E116</f>
        <v>0</v>
      </c>
      <c r="L116" s="223">
        <f>K116+J116</f>
        <v>34136.471903999998</v>
      </c>
    </row>
    <row r="117" spans="1:12" ht="15" thickBot="1" x14ac:dyDescent="0.35">
      <c r="A117" s="50" t="s">
        <v>1</v>
      </c>
      <c r="B117" s="50" t="s">
        <v>53</v>
      </c>
      <c r="C117" s="50" t="s">
        <v>54</v>
      </c>
      <c r="D117" s="73" t="s">
        <v>2</v>
      </c>
      <c r="E117" s="50" t="s">
        <v>3</v>
      </c>
      <c r="F117" s="50" t="s">
        <v>4</v>
      </c>
      <c r="G117" s="55" t="s">
        <v>5</v>
      </c>
      <c r="H117" s="55" t="s">
        <v>6</v>
      </c>
      <c r="I117" s="70" t="s">
        <v>7</v>
      </c>
      <c r="J117" s="223"/>
      <c r="K117" s="223"/>
      <c r="L117" s="223"/>
    </row>
    <row r="118" spans="1:12" x14ac:dyDescent="0.3">
      <c r="A118" s="57">
        <v>13</v>
      </c>
      <c r="B118" s="58" t="s">
        <v>8</v>
      </c>
      <c r="C118" s="58">
        <v>150000</v>
      </c>
      <c r="D118" s="133" t="s">
        <v>22</v>
      </c>
      <c r="E118" s="133"/>
      <c r="F118" s="133"/>
      <c r="G118" s="133"/>
      <c r="H118" s="133"/>
      <c r="I118" s="134"/>
      <c r="J118" s="223">
        <f>G118*E118</f>
        <v>0</v>
      </c>
      <c r="K118" s="223">
        <f>H118*E118</f>
        <v>0</v>
      </c>
      <c r="L118" s="223">
        <f>K118+J118</f>
        <v>0</v>
      </c>
    </row>
    <row r="119" spans="1:12" ht="27" thickBot="1" x14ac:dyDescent="0.35">
      <c r="A119" s="75" t="s">
        <v>476</v>
      </c>
      <c r="B119" s="9" t="s">
        <v>8</v>
      </c>
      <c r="C119" s="9">
        <v>150204</v>
      </c>
      <c r="D119" s="65" t="s">
        <v>293</v>
      </c>
      <c r="E119" s="11">
        <f>'MEMÓRIA DE CÁLCULO'!D394</f>
        <v>514.46399999999994</v>
      </c>
      <c r="F119" s="9" t="s">
        <v>142</v>
      </c>
      <c r="G119" s="62">
        <v>19.95</v>
      </c>
      <c r="H119" s="91">
        <v>0</v>
      </c>
      <c r="I119" s="63">
        <f t="shared" ref="I119" si="12">(H119+G119)*E119</f>
        <v>10263.556799999998</v>
      </c>
      <c r="J119" s="223"/>
      <c r="K119" s="223"/>
      <c r="L119" s="223"/>
    </row>
    <row r="120" spans="1:12" ht="15" thickBot="1" x14ac:dyDescent="0.35">
      <c r="A120" s="135" t="s">
        <v>61</v>
      </c>
      <c r="B120" s="136"/>
      <c r="C120" s="136"/>
      <c r="D120" s="136"/>
      <c r="E120" s="136"/>
      <c r="F120" s="136"/>
      <c r="G120" s="136"/>
      <c r="H120" s="136"/>
      <c r="I120" s="72">
        <f>ROUND(SUM(I119:I119),2)</f>
        <v>10263.56</v>
      </c>
      <c r="J120" s="223">
        <f>I120*1.2388</f>
        <v>12714.498127999997</v>
      </c>
      <c r="K120" s="223">
        <f>H120*E120</f>
        <v>0</v>
      </c>
      <c r="L120" s="223">
        <f>K120+J120</f>
        <v>12714.498127999997</v>
      </c>
    </row>
    <row r="121" spans="1:12" ht="15" thickBot="1" x14ac:dyDescent="0.35">
      <c r="A121" s="50" t="s">
        <v>1</v>
      </c>
      <c r="B121" s="50" t="s">
        <v>53</v>
      </c>
      <c r="C121" s="50" t="s">
        <v>54</v>
      </c>
      <c r="D121" s="73" t="s">
        <v>2</v>
      </c>
      <c r="E121" s="50" t="s">
        <v>3</v>
      </c>
      <c r="F121" s="50" t="s">
        <v>4</v>
      </c>
      <c r="G121" s="55" t="s">
        <v>5</v>
      </c>
      <c r="H121" s="55" t="s">
        <v>6</v>
      </c>
      <c r="I121" s="70" t="s">
        <v>7</v>
      </c>
      <c r="J121" s="223"/>
      <c r="K121" s="223"/>
      <c r="L121" s="223"/>
    </row>
    <row r="122" spans="1:12" x14ac:dyDescent="0.3">
      <c r="A122" s="57">
        <v>14</v>
      </c>
      <c r="B122" s="58" t="s">
        <v>8</v>
      </c>
      <c r="C122" s="58">
        <v>200000</v>
      </c>
      <c r="D122" s="133" t="s">
        <v>23</v>
      </c>
      <c r="E122" s="133"/>
      <c r="F122" s="133"/>
      <c r="G122" s="133"/>
      <c r="H122" s="133"/>
      <c r="I122" s="134"/>
      <c r="J122" s="223">
        <f>G122*E122</f>
        <v>0</v>
      </c>
      <c r="K122" s="223">
        <f>H122*E122</f>
        <v>0</v>
      </c>
      <c r="L122" s="223">
        <f>K122+J122</f>
        <v>0</v>
      </c>
    </row>
    <row r="123" spans="1:12" x14ac:dyDescent="0.3">
      <c r="A123" s="75" t="s">
        <v>477</v>
      </c>
      <c r="B123" s="9" t="s">
        <v>8</v>
      </c>
      <c r="C123" s="9">
        <v>200101</v>
      </c>
      <c r="D123" s="65" t="s">
        <v>304</v>
      </c>
      <c r="E123" s="11">
        <f>'MEMÓRIA DE CÁLCULO'!D411</f>
        <v>321.04309999999998</v>
      </c>
      <c r="F123" s="11" t="s">
        <v>10</v>
      </c>
      <c r="G123" s="62">
        <v>1.84</v>
      </c>
      <c r="H123" s="62">
        <v>2.4900000000000002</v>
      </c>
      <c r="I123" s="63">
        <f t="shared" ref="I123:I124" si="13">(H123+G123)*E123</f>
        <v>1390.1166229999999</v>
      </c>
      <c r="J123" s="223"/>
      <c r="K123" s="223"/>
      <c r="L123" s="223"/>
    </row>
    <row r="124" spans="1:12" ht="15" thickBot="1" x14ac:dyDescent="0.35">
      <c r="A124" s="75" t="s">
        <v>478</v>
      </c>
      <c r="B124" s="9" t="s">
        <v>8</v>
      </c>
      <c r="C124" s="9">
        <v>200403</v>
      </c>
      <c r="D124" s="65" t="s">
        <v>305</v>
      </c>
      <c r="E124" s="11">
        <f>'MEMÓRIA DE CÁLCULO'!D426</f>
        <v>321.04309999999998</v>
      </c>
      <c r="F124" s="11" t="s">
        <v>10</v>
      </c>
      <c r="G124" s="62">
        <v>1.92</v>
      </c>
      <c r="H124" s="62">
        <v>10.87</v>
      </c>
      <c r="I124" s="63">
        <f t="shared" si="13"/>
        <v>4106.1412489999993</v>
      </c>
      <c r="J124" s="223"/>
      <c r="K124" s="223"/>
      <c r="L124" s="223"/>
    </row>
    <row r="125" spans="1:12" ht="15" thickBot="1" x14ac:dyDescent="0.35">
      <c r="A125" s="135" t="s">
        <v>61</v>
      </c>
      <c r="B125" s="136"/>
      <c r="C125" s="136"/>
      <c r="D125" s="136"/>
      <c r="E125" s="136"/>
      <c r="F125" s="136"/>
      <c r="G125" s="136"/>
      <c r="H125" s="136"/>
      <c r="I125" s="72">
        <f>ROUND(SUM(I123:I124),2)</f>
        <v>5496.26</v>
      </c>
      <c r="J125" s="223">
        <f>I125*1.2388</f>
        <v>6808.7668880000001</v>
      </c>
      <c r="K125" s="223">
        <f>H125*E125</f>
        <v>0</v>
      </c>
      <c r="L125" s="223">
        <f>K125+J125</f>
        <v>6808.7668880000001</v>
      </c>
    </row>
    <row r="126" spans="1:12" ht="15" thickBot="1" x14ac:dyDescent="0.35">
      <c r="A126" s="50" t="s">
        <v>1</v>
      </c>
      <c r="B126" s="50" t="s">
        <v>53</v>
      </c>
      <c r="C126" s="50" t="s">
        <v>54</v>
      </c>
      <c r="D126" s="73" t="s">
        <v>2</v>
      </c>
      <c r="E126" s="50" t="s">
        <v>3</v>
      </c>
      <c r="F126" s="50" t="s">
        <v>4</v>
      </c>
      <c r="G126" s="55" t="s">
        <v>5</v>
      </c>
      <c r="H126" s="55" t="s">
        <v>6</v>
      </c>
      <c r="I126" s="70" t="s">
        <v>7</v>
      </c>
      <c r="J126" s="223"/>
      <c r="K126" s="223"/>
      <c r="L126" s="223"/>
    </row>
    <row r="127" spans="1:12" x14ac:dyDescent="0.3">
      <c r="A127" s="57">
        <v>15</v>
      </c>
      <c r="B127" s="58" t="s">
        <v>8</v>
      </c>
      <c r="C127" s="58">
        <v>220000</v>
      </c>
      <c r="D127" s="133" t="s">
        <v>24</v>
      </c>
      <c r="E127" s="133"/>
      <c r="F127" s="133"/>
      <c r="G127" s="133"/>
      <c r="H127" s="133"/>
      <c r="I127" s="134"/>
      <c r="J127" s="223">
        <f>G127*E127</f>
        <v>0</v>
      </c>
      <c r="K127" s="223">
        <f>H127*E127</f>
        <v>0</v>
      </c>
      <c r="L127" s="223">
        <f>K127+J127</f>
        <v>0</v>
      </c>
    </row>
    <row r="128" spans="1:12" ht="26.4" x14ac:dyDescent="0.3">
      <c r="A128" s="75" t="s">
        <v>479</v>
      </c>
      <c r="B128" s="9" t="s">
        <v>8</v>
      </c>
      <c r="C128" s="9">
        <v>220100</v>
      </c>
      <c r="D128" s="65" t="s">
        <v>310</v>
      </c>
      <c r="E128" s="11">
        <f>'MEMÓRIA DE CÁLCULO'!D431</f>
        <v>404.82</v>
      </c>
      <c r="F128" s="9" t="s">
        <v>33</v>
      </c>
      <c r="G128" s="62">
        <v>34.979999999999997</v>
      </c>
      <c r="H128" s="62">
        <v>28.35</v>
      </c>
      <c r="I128" s="63">
        <f t="shared" ref="I128:I132" si="14">(H128+G128)*E128</f>
        <v>25637.250599999999</v>
      </c>
      <c r="J128" s="223"/>
      <c r="K128" s="223"/>
      <c r="L128" s="223"/>
    </row>
    <row r="129" spans="1:13" x14ac:dyDescent="0.3">
      <c r="A129" s="75" t="s">
        <v>480</v>
      </c>
      <c r="B129" s="9" t="s">
        <v>8</v>
      </c>
      <c r="C129" s="9">
        <v>220102</v>
      </c>
      <c r="D129" s="65" t="s">
        <v>311</v>
      </c>
      <c r="E129" s="11">
        <f>'MEMÓRIA DE CÁLCULO'!D435</f>
        <v>695.78000000000009</v>
      </c>
      <c r="F129" s="11" t="s">
        <v>10</v>
      </c>
      <c r="G129" s="62">
        <v>16.89</v>
      </c>
      <c r="H129" s="62">
        <v>9.2100000000000009</v>
      </c>
      <c r="I129" s="63">
        <f t="shared" si="14"/>
        <v>18159.858000000004</v>
      </c>
      <c r="J129" s="223"/>
      <c r="K129" s="223"/>
      <c r="L129" s="223"/>
    </row>
    <row r="130" spans="1:13" x14ac:dyDescent="0.3">
      <c r="A130" s="75" t="s">
        <v>481</v>
      </c>
      <c r="B130" s="107" t="s">
        <v>8</v>
      </c>
      <c r="C130" s="107">
        <v>220107</v>
      </c>
      <c r="D130" s="108" t="s">
        <v>420</v>
      </c>
      <c r="E130" s="109">
        <f>'MEMÓRIA DE CÁLCULO'!D441</f>
        <v>32.4</v>
      </c>
      <c r="F130" s="107" t="s">
        <v>405</v>
      </c>
      <c r="G130" s="110">
        <v>117.79</v>
      </c>
      <c r="H130" s="110">
        <v>18.22</v>
      </c>
      <c r="I130" s="63">
        <f t="shared" si="14"/>
        <v>4406.7239999999993</v>
      </c>
      <c r="J130" s="223"/>
      <c r="K130" s="223"/>
      <c r="L130" s="223"/>
    </row>
    <row r="131" spans="1:13" s="202" customFormat="1" ht="26.4" x14ac:dyDescent="0.3">
      <c r="A131" s="75" t="s">
        <v>482</v>
      </c>
      <c r="B131" s="107" t="s">
        <v>8</v>
      </c>
      <c r="C131" s="107">
        <v>221126</v>
      </c>
      <c r="D131" s="108" t="s">
        <v>421</v>
      </c>
      <c r="E131" s="109">
        <f>'MEMÓRIA DE CÁLCULO'!D445</f>
        <v>0.89999999999999991</v>
      </c>
      <c r="F131" s="107" t="s">
        <v>33</v>
      </c>
      <c r="G131" s="110">
        <v>74.260000000000005</v>
      </c>
      <c r="H131" s="110">
        <v>17.95</v>
      </c>
      <c r="I131" s="77">
        <f t="shared" si="14"/>
        <v>82.989000000000004</v>
      </c>
      <c r="J131" s="227"/>
      <c r="K131" s="227"/>
      <c r="L131" s="227"/>
    </row>
    <row r="132" spans="1:13" ht="15" thickBot="1" x14ac:dyDescent="0.35">
      <c r="A132" s="75" t="s">
        <v>483</v>
      </c>
      <c r="B132" s="92" t="s">
        <v>422</v>
      </c>
      <c r="C132" s="9">
        <v>1</v>
      </c>
      <c r="D132" s="93" t="str">
        <f>COMPOSIÇÃO!B14</f>
        <v xml:space="preserve">REVESTIMENTO COM PLACA CIMENTÍCIA </v>
      </c>
      <c r="E132" s="94">
        <f>'MEMÓRIA DE CÁLCULO'!D448</f>
        <v>550.05999999999995</v>
      </c>
      <c r="F132" s="92" t="s">
        <v>33</v>
      </c>
      <c r="G132" s="95">
        <f>COMPOSIÇÃO!I23</f>
        <v>195.59172499999997</v>
      </c>
      <c r="H132" s="95">
        <f>COMPOSIÇÃO!I18</f>
        <v>25.696440000000003</v>
      </c>
      <c r="I132" s="63">
        <f t="shared" si="14"/>
        <v>121721.76803989997</v>
      </c>
      <c r="J132" s="223"/>
      <c r="K132" s="223"/>
      <c r="L132" s="223"/>
    </row>
    <row r="133" spans="1:13" ht="15" thickBot="1" x14ac:dyDescent="0.35">
      <c r="A133" s="135" t="s">
        <v>61</v>
      </c>
      <c r="B133" s="136"/>
      <c r="C133" s="136"/>
      <c r="D133" s="136"/>
      <c r="E133" s="136"/>
      <c r="F133" s="136"/>
      <c r="G133" s="136"/>
      <c r="H133" s="136"/>
      <c r="I133" s="72">
        <f>ROUND(SUM(I128:I132),2)</f>
        <v>170008.59</v>
      </c>
      <c r="J133" s="223">
        <f>I133*1.2388</f>
        <v>210606.64129199999</v>
      </c>
      <c r="K133" s="223">
        <f>H133*E133</f>
        <v>0</v>
      </c>
      <c r="L133" s="223">
        <f>K133+J133</f>
        <v>210606.64129199999</v>
      </c>
    </row>
    <row r="134" spans="1:13" ht="15" thickBot="1" x14ac:dyDescent="0.35">
      <c r="A134" s="50" t="s">
        <v>1</v>
      </c>
      <c r="B134" s="50" t="s">
        <v>53</v>
      </c>
      <c r="C134" s="50" t="s">
        <v>54</v>
      </c>
      <c r="D134" s="73" t="s">
        <v>2</v>
      </c>
      <c r="E134" s="50" t="s">
        <v>3</v>
      </c>
      <c r="F134" s="50" t="s">
        <v>4</v>
      </c>
      <c r="G134" s="55" t="s">
        <v>5</v>
      </c>
      <c r="H134" s="55" t="s">
        <v>6</v>
      </c>
      <c r="I134" s="70" t="s">
        <v>7</v>
      </c>
      <c r="J134" s="223"/>
      <c r="K134" s="223"/>
      <c r="L134" s="223"/>
    </row>
    <row r="135" spans="1:13" x14ac:dyDescent="0.3">
      <c r="A135" s="57">
        <v>16</v>
      </c>
      <c r="B135" s="58" t="s">
        <v>8</v>
      </c>
      <c r="C135" s="58">
        <v>230000</v>
      </c>
      <c r="D135" s="133" t="s">
        <v>25</v>
      </c>
      <c r="E135" s="133"/>
      <c r="F135" s="133"/>
      <c r="G135" s="133"/>
      <c r="H135" s="133"/>
      <c r="I135" s="134"/>
      <c r="J135" s="223">
        <f>G135*E135</f>
        <v>0</v>
      </c>
      <c r="K135" s="223">
        <f>H135*E135</f>
        <v>0</v>
      </c>
      <c r="L135" s="223">
        <f>K135+J135</f>
        <v>0</v>
      </c>
    </row>
    <row r="136" spans="1:13" x14ac:dyDescent="0.3">
      <c r="A136" s="75" t="s">
        <v>484</v>
      </c>
      <c r="B136" s="9" t="s">
        <v>346</v>
      </c>
      <c r="C136" s="9">
        <v>3812</v>
      </c>
      <c r="D136" s="65" t="s">
        <v>342</v>
      </c>
      <c r="E136" s="11">
        <f>'MEMÓRIA DE CÁLCULO'!D453</f>
        <v>72</v>
      </c>
      <c r="F136" s="9" t="s">
        <v>343</v>
      </c>
      <c r="G136" s="62">
        <v>0.09</v>
      </c>
      <c r="H136" s="62">
        <v>0</v>
      </c>
      <c r="I136" s="63">
        <f t="shared" ref="I136:I138" si="15">(H136+G136)*E136</f>
        <v>6.4799999999999995</v>
      </c>
      <c r="J136" s="223"/>
      <c r="K136" s="223"/>
      <c r="L136" s="223"/>
    </row>
    <row r="137" spans="1:13" x14ac:dyDescent="0.3">
      <c r="A137" s="75" t="s">
        <v>485</v>
      </c>
      <c r="B137" s="9" t="s">
        <v>346</v>
      </c>
      <c r="C137" s="9">
        <v>3815</v>
      </c>
      <c r="D137" s="65" t="s">
        <v>344</v>
      </c>
      <c r="E137" s="11">
        <f>'MEMÓRIA DE CÁLCULO'!D456</f>
        <v>36</v>
      </c>
      <c r="F137" s="11" t="s">
        <v>343</v>
      </c>
      <c r="G137" s="62">
        <v>0.09</v>
      </c>
      <c r="H137" s="62">
        <v>0</v>
      </c>
      <c r="I137" s="63">
        <f t="shared" si="15"/>
        <v>3.2399999999999998</v>
      </c>
      <c r="J137" s="223"/>
      <c r="K137" s="223"/>
      <c r="L137" s="223"/>
    </row>
    <row r="138" spans="1:13" ht="27" thickBot="1" x14ac:dyDescent="0.35">
      <c r="A138" s="75" t="s">
        <v>486</v>
      </c>
      <c r="B138" s="9" t="s">
        <v>347</v>
      </c>
      <c r="C138" s="9">
        <v>4302</v>
      </c>
      <c r="D138" s="65" t="s">
        <v>345</v>
      </c>
      <c r="E138" s="11">
        <f>'MEMÓRIA DE CÁLCULO'!D459</f>
        <v>36</v>
      </c>
      <c r="F138" s="9" t="s">
        <v>238</v>
      </c>
      <c r="G138" s="62">
        <v>2.2799999999999998</v>
      </c>
      <c r="H138" s="62">
        <v>0</v>
      </c>
      <c r="I138" s="63">
        <f t="shared" si="15"/>
        <v>82.08</v>
      </c>
      <c r="J138" s="223"/>
      <c r="K138" s="223"/>
      <c r="L138" s="223"/>
    </row>
    <row r="139" spans="1:13" ht="15" thickBot="1" x14ac:dyDescent="0.35">
      <c r="A139" s="135" t="s">
        <v>61</v>
      </c>
      <c r="B139" s="136"/>
      <c r="C139" s="136"/>
      <c r="D139" s="136"/>
      <c r="E139" s="136"/>
      <c r="F139" s="136"/>
      <c r="G139" s="136"/>
      <c r="H139" s="136"/>
      <c r="I139" s="72">
        <f>ROUND(SUM(I136:I138),2)</f>
        <v>91.8</v>
      </c>
      <c r="J139" s="223">
        <f>I139*1.2388</f>
        <v>113.72183999999999</v>
      </c>
      <c r="K139" s="223">
        <f>H139*E139</f>
        <v>0</v>
      </c>
      <c r="L139" s="223">
        <f>K139+J139</f>
        <v>113.72183999999999</v>
      </c>
    </row>
    <row r="140" spans="1:13" ht="15" thickBot="1" x14ac:dyDescent="0.35">
      <c r="A140" s="50" t="s">
        <v>1</v>
      </c>
      <c r="B140" s="50" t="s">
        <v>53</v>
      </c>
      <c r="C140" s="50" t="s">
        <v>54</v>
      </c>
      <c r="D140" s="73" t="s">
        <v>2</v>
      </c>
      <c r="E140" s="50" t="s">
        <v>3</v>
      </c>
      <c r="F140" s="50" t="s">
        <v>4</v>
      </c>
      <c r="G140" s="55" t="s">
        <v>5</v>
      </c>
      <c r="H140" s="55" t="s">
        <v>6</v>
      </c>
      <c r="I140" s="70" t="s">
        <v>7</v>
      </c>
      <c r="J140" s="223"/>
      <c r="K140" s="223"/>
      <c r="L140" s="223"/>
    </row>
    <row r="141" spans="1:13" x14ac:dyDescent="0.3">
      <c r="A141" s="57">
        <v>17</v>
      </c>
      <c r="B141" s="58" t="s">
        <v>8</v>
      </c>
      <c r="C141" s="58">
        <v>250000</v>
      </c>
      <c r="D141" s="133" t="s">
        <v>26</v>
      </c>
      <c r="E141" s="133"/>
      <c r="F141" s="133"/>
      <c r="G141" s="133"/>
      <c r="H141" s="133"/>
      <c r="I141" s="134"/>
      <c r="J141" s="223">
        <f>G141*E141</f>
        <v>0</v>
      </c>
      <c r="K141" s="223">
        <f>H141*E141</f>
        <v>0</v>
      </c>
      <c r="L141" s="223">
        <f>K141+J141</f>
        <v>0</v>
      </c>
    </row>
    <row r="142" spans="1:13" ht="15.75" customHeight="1" x14ac:dyDescent="0.3">
      <c r="A142" s="75" t="s">
        <v>306</v>
      </c>
      <c r="B142" s="9" t="s">
        <v>8</v>
      </c>
      <c r="C142" s="9">
        <v>250101</v>
      </c>
      <c r="D142" s="65" t="s">
        <v>348</v>
      </c>
      <c r="E142" s="11">
        <f>'MEMÓRIA DE CÁLCULO'!D465</f>
        <v>100</v>
      </c>
      <c r="F142" s="11" t="s">
        <v>349</v>
      </c>
      <c r="G142" s="62">
        <v>0</v>
      </c>
      <c r="H142" s="62">
        <v>64.48</v>
      </c>
      <c r="I142" s="63">
        <f t="shared" ref="I142:I143" si="16">(H142+G142)*E142</f>
        <v>6448</v>
      </c>
      <c r="J142" s="223"/>
      <c r="K142" s="223"/>
      <c r="L142" s="223"/>
      <c r="M142" s="228"/>
    </row>
    <row r="143" spans="1:13" ht="15.75" customHeight="1" thickBot="1" x14ac:dyDescent="0.35">
      <c r="A143" s="75" t="s">
        <v>307</v>
      </c>
      <c r="B143" s="9" t="s">
        <v>8</v>
      </c>
      <c r="C143" s="9">
        <v>250102</v>
      </c>
      <c r="D143" s="65" t="s">
        <v>350</v>
      </c>
      <c r="E143" s="11">
        <f>'MEMÓRIA DE CÁLCULO'!D469</f>
        <v>700</v>
      </c>
      <c r="F143" s="11" t="s">
        <v>349</v>
      </c>
      <c r="G143" s="62">
        <v>0</v>
      </c>
      <c r="H143" s="62">
        <v>33.68</v>
      </c>
      <c r="I143" s="63">
        <f t="shared" si="16"/>
        <v>23576</v>
      </c>
      <c r="J143" s="223"/>
      <c r="K143" s="223"/>
      <c r="L143" s="223"/>
    </row>
    <row r="144" spans="1:13" ht="15" thickBot="1" x14ac:dyDescent="0.35">
      <c r="A144" s="135" t="s">
        <v>61</v>
      </c>
      <c r="B144" s="136"/>
      <c r="C144" s="136"/>
      <c r="D144" s="136"/>
      <c r="E144" s="136"/>
      <c r="F144" s="136"/>
      <c r="G144" s="136"/>
      <c r="H144" s="136"/>
      <c r="I144" s="72">
        <f>ROUND(SUM(I142:I143),2)</f>
        <v>30024</v>
      </c>
      <c r="J144" s="223">
        <f>I144*1.2388</f>
        <v>37193.731199999995</v>
      </c>
      <c r="K144" s="223">
        <f>H144*E144</f>
        <v>0</v>
      </c>
      <c r="L144" s="223">
        <f>K144+J144</f>
        <v>37193.731199999995</v>
      </c>
    </row>
    <row r="145" spans="1:12" ht="15" thickBot="1" x14ac:dyDescent="0.35">
      <c r="A145" s="50" t="s">
        <v>1</v>
      </c>
      <c r="B145" s="50" t="s">
        <v>53</v>
      </c>
      <c r="C145" s="50" t="s">
        <v>54</v>
      </c>
      <c r="D145" s="73" t="s">
        <v>2</v>
      </c>
      <c r="E145" s="50" t="s">
        <v>3</v>
      </c>
      <c r="F145" s="50" t="s">
        <v>4</v>
      </c>
      <c r="G145" s="55" t="s">
        <v>5</v>
      </c>
      <c r="H145" s="55" t="s">
        <v>6</v>
      </c>
      <c r="I145" s="70" t="s">
        <v>7</v>
      </c>
      <c r="J145" s="223"/>
      <c r="K145" s="223"/>
      <c r="L145" s="223"/>
    </row>
    <row r="146" spans="1:12" x14ac:dyDescent="0.3">
      <c r="A146" s="57">
        <v>18</v>
      </c>
      <c r="B146" s="58" t="s">
        <v>8</v>
      </c>
      <c r="C146" s="58">
        <v>260000</v>
      </c>
      <c r="D146" s="133" t="s">
        <v>27</v>
      </c>
      <c r="E146" s="133"/>
      <c r="F146" s="133"/>
      <c r="G146" s="133"/>
      <c r="H146" s="133"/>
      <c r="I146" s="134"/>
      <c r="J146" s="223">
        <f>G146*E146</f>
        <v>0</v>
      </c>
      <c r="K146" s="223">
        <f>H146*E146</f>
        <v>0</v>
      </c>
      <c r="L146" s="223">
        <f>K146+J146</f>
        <v>0</v>
      </c>
    </row>
    <row r="147" spans="1:12" x14ac:dyDescent="0.3">
      <c r="A147" s="75" t="s">
        <v>487</v>
      </c>
      <c r="B147" s="9" t="s">
        <v>8</v>
      </c>
      <c r="C147" s="9">
        <v>260901</v>
      </c>
      <c r="D147" s="65" t="s">
        <v>352</v>
      </c>
      <c r="E147" s="11">
        <f>'MEMÓRIA DE CÁLCULO'!D484</f>
        <v>44.28</v>
      </c>
      <c r="F147" s="11" t="s">
        <v>10</v>
      </c>
      <c r="G147" s="62">
        <v>7.31</v>
      </c>
      <c r="H147" s="62">
        <v>4.68</v>
      </c>
      <c r="I147" s="63">
        <f t="shared" ref="I147:I150" si="17">(H147+G147)*E147</f>
        <v>530.91719999999998</v>
      </c>
      <c r="J147" s="223"/>
      <c r="K147" s="223"/>
      <c r="L147" s="223"/>
    </row>
    <row r="148" spans="1:12" x14ac:dyDescent="0.3">
      <c r="A148" s="75" t="s">
        <v>488</v>
      </c>
      <c r="B148" s="9" t="s">
        <v>8</v>
      </c>
      <c r="C148" s="9">
        <v>260902</v>
      </c>
      <c r="D148" s="65" t="s">
        <v>353</v>
      </c>
      <c r="E148" s="11">
        <f>'MEMÓRIA DE CÁLCULO'!D498</f>
        <v>57.031999999999996</v>
      </c>
      <c r="F148" s="11" t="s">
        <v>10</v>
      </c>
      <c r="G148" s="62">
        <v>6.91</v>
      </c>
      <c r="H148" s="62">
        <v>3.61</v>
      </c>
      <c r="I148" s="63">
        <f t="shared" si="17"/>
        <v>599.97663999999997</v>
      </c>
      <c r="J148" s="223"/>
      <c r="K148" s="223"/>
      <c r="L148" s="223"/>
    </row>
    <row r="149" spans="1:12" x14ac:dyDescent="0.3">
      <c r="A149" s="75" t="s">
        <v>489</v>
      </c>
      <c r="B149" s="9" t="s">
        <v>8</v>
      </c>
      <c r="C149" s="9">
        <v>261609</v>
      </c>
      <c r="D149" s="65" t="s">
        <v>354</v>
      </c>
      <c r="E149" s="11">
        <f>'MEMÓRIA DE CÁLCULO'!D521</f>
        <v>259.14800000000002</v>
      </c>
      <c r="F149" s="11" t="s">
        <v>10</v>
      </c>
      <c r="G149" s="62">
        <v>9.33</v>
      </c>
      <c r="H149" s="62">
        <v>2.75</v>
      </c>
      <c r="I149" s="63">
        <f t="shared" si="17"/>
        <v>3130.5078400000002</v>
      </c>
      <c r="J149" s="223"/>
      <c r="K149" s="223"/>
      <c r="L149" s="223"/>
    </row>
    <row r="150" spans="1:12" x14ac:dyDescent="0.3">
      <c r="A150" s="75" t="s">
        <v>490</v>
      </c>
      <c r="B150" s="9" t="s">
        <v>8</v>
      </c>
      <c r="C150" s="9">
        <v>261703</v>
      </c>
      <c r="D150" s="65" t="s">
        <v>355</v>
      </c>
      <c r="E150" s="11">
        <f>'MEMÓRIA DE CÁLCULO'!D525</f>
        <v>695.78000000000009</v>
      </c>
      <c r="F150" s="11" t="s">
        <v>10</v>
      </c>
      <c r="G150" s="62">
        <v>3.16</v>
      </c>
      <c r="H150" s="62">
        <v>6.32</v>
      </c>
      <c r="I150" s="63">
        <f t="shared" si="17"/>
        <v>6595.9944000000014</v>
      </c>
      <c r="J150" s="223"/>
      <c r="K150" s="223"/>
      <c r="L150" s="223"/>
    </row>
    <row r="151" spans="1:12" x14ac:dyDescent="0.3">
      <c r="A151" s="75" t="s">
        <v>491</v>
      </c>
      <c r="B151" s="9" t="s">
        <v>8</v>
      </c>
      <c r="C151" s="9">
        <v>261305</v>
      </c>
      <c r="D151" s="65" t="s">
        <v>502</v>
      </c>
      <c r="E151" s="11">
        <f>'MEMÓRIA DE CÁLCULO'!D537</f>
        <v>225.33440000000002</v>
      </c>
      <c r="F151" s="11" t="s">
        <v>33</v>
      </c>
      <c r="G151" s="62">
        <v>3.18</v>
      </c>
      <c r="H151" s="62">
        <v>5.55</v>
      </c>
      <c r="I151" s="63">
        <f t="shared" ref="I151:I152" si="18">(H151+G151)*E151</f>
        <v>1967.1693120000002</v>
      </c>
      <c r="J151" s="223"/>
      <c r="K151" s="223"/>
      <c r="L151" s="223"/>
    </row>
    <row r="152" spans="1:12" ht="15" thickBot="1" x14ac:dyDescent="0.35">
      <c r="A152" s="75" t="s">
        <v>492</v>
      </c>
      <c r="B152" s="9" t="s">
        <v>8</v>
      </c>
      <c r="C152" s="9">
        <v>261001</v>
      </c>
      <c r="D152" s="65" t="s">
        <v>501</v>
      </c>
      <c r="E152" s="11">
        <f>'MEMÓRIA DE CÁLCULO'!D549</f>
        <v>225.33440000000002</v>
      </c>
      <c r="F152" s="11" t="s">
        <v>10</v>
      </c>
      <c r="G152" s="62">
        <v>4.55</v>
      </c>
      <c r="H152" s="62">
        <v>5.58</v>
      </c>
      <c r="I152" s="63">
        <f t="shared" si="18"/>
        <v>2282.6374719999999</v>
      </c>
      <c r="J152" s="223"/>
      <c r="K152" s="223"/>
      <c r="L152" s="223"/>
    </row>
    <row r="153" spans="1:12" ht="15" thickBot="1" x14ac:dyDescent="0.35">
      <c r="A153" s="135" t="s">
        <v>61</v>
      </c>
      <c r="B153" s="136"/>
      <c r="C153" s="136"/>
      <c r="D153" s="136"/>
      <c r="E153" s="136"/>
      <c r="F153" s="136"/>
      <c r="G153" s="136"/>
      <c r="H153" s="136"/>
      <c r="I153" s="72">
        <f>ROUND(SUM(I147:I152),2)</f>
        <v>15107.2</v>
      </c>
      <c r="J153" s="223">
        <f>I153*1.2388</f>
        <v>18714.799360000001</v>
      </c>
      <c r="K153" s="223">
        <f>H153*E153</f>
        <v>0</v>
      </c>
      <c r="L153" s="223">
        <f>K153+J153</f>
        <v>18714.799360000001</v>
      </c>
    </row>
    <row r="154" spans="1:12" ht="15" thickBot="1" x14ac:dyDescent="0.35">
      <c r="A154" s="50" t="s">
        <v>1</v>
      </c>
      <c r="B154" s="50" t="s">
        <v>53</v>
      </c>
      <c r="C154" s="50" t="s">
        <v>54</v>
      </c>
      <c r="D154" s="73" t="s">
        <v>2</v>
      </c>
      <c r="E154" s="50" t="s">
        <v>3</v>
      </c>
      <c r="F154" s="50" t="s">
        <v>4</v>
      </c>
      <c r="G154" s="55" t="s">
        <v>5</v>
      </c>
      <c r="H154" s="55" t="s">
        <v>6</v>
      </c>
      <c r="I154" s="70" t="s">
        <v>7</v>
      </c>
      <c r="J154" s="223"/>
      <c r="K154" s="223"/>
      <c r="L154" s="223"/>
    </row>
    <row r="155" spans="1:12" x14ac:dyDescent="0.3">
      <c r="A155" s="57">
        <v>19</v>
      </c>
      <c r="B155" s="58" t="s">
        <v>8</v>
      </c>
      <c r="C155" s="58">
        <v>270000</v>
      </c>
      <c r="D155" s="133" t="s">
        <v>28</v>
      </c>
      <c r="E155" s="133"/>
      <c r="F155" s="133"/>
      <c r="G155" s="133"/>
      <c r="H155" s="133"/>
      <c r="I155" s="134"/>
      <c r="J155" s="223">
        <f>G155*E155</f>
        <v>0</v>
      </c>
      <c r="K155" s="223">
        <f>H155*E155</f>
        <v>0</v>
      </c>
      <c r="L155" s="223">
        <f>K155+J155</f>
        <v>0</v>
      </c>
    </row>
    <row r="156" spans="1:12" s="202" customFormat="1" x14ac:dyDescent="0.3">
      <c r="A156" s="74" t="s">
        <v>313</v>
      </c>
      <c r="B156" s="107" t="s">
        <v>8</v>
      </c>
      <c r="C156" s="107">
        <v>270501</v>
      </c>
      <c r="D156" s="108" t="s">
        <v>426</v>
      </c>
      <c r="E156" s="109">
        <f>'MEMÓRIA DE CÁLCULO'!D554</f>
        <v>440.01405741633567</v>
      </c>
      <c r="F156" s="107" t="s">
        <v>33</v>
      </c>
      <c r="G156" s="110">
        <v>0.67</v>
      </c>
      <c r="H156" s="110">
        <v>1.45</v>
      </c>
      <c r="I156" s="117">
        <f>(H156+G156)*E156</f>
        <v>932.82980172263171</v>
      </c>
      <c r="J156" s="200"/>
      <c r="K156" s="200"/>
      <c r="L156" s="200"/>
    </row>
    <row r="157" spans="1:12" s="202" customFormat="1" ht="27.75" customHeight="1" x14ac:dyDescent="0.3">
      <c r="A157" s="74" t="s">
        <v>314</v>
      </c>
      <c r="B157" s="107" t="s">
        <v>8</v>
      </c>
      <c r="C157" s="107">
        <v>270207</v>
      </c>
      <c r="D157" s="108" t="s">
        <v>356</v>
      </c>
      <c r="E157" s="109">
        <f>'MEMÓRIA DE CÁLCULO'!D557</f>
        <v>1112</v>
      </c>
      <c r="F157" s="109" t="s">
        <v>10</v>
      </c>
      <c r="G157" s="78">
        <v>5.84</v>
      </c>
      <c r="H157" s="78">
        <v>5.36</v>
      </c>
      <c r="I157" s="77">
        <f t="shared" ref="I157:I167" si="19">(H157+G157)*E157</f>
        <v>12454.4</v>
      </c>
      <c r="J157" s="227"/>
      <c r="K157" s="227"/>
      <c r="L157" s="227"/>
    </row>
    <row r="158" spans="1:12" s="202" customFormat="1" ht="26.4" x14ac:dyDescent="0.3">
      <c r="A158" s="74" t="s">
        <v>315</v>
      </c>
      <c r="B158" s="107" t="s">
        <v>8</v>
      </c>
      <c r="C158" s="113">
        <v>270210</v>
      </c>
      <c r="D158" s="114" t="s">
        <v>409</v>
      </c>
      <c r="E158" s="115">
        <f>'MEMÓRIA DE CÁLCULO'!D560</f>
        <v>1076.94</v>
      </c>
      <c r="F158" s="115" t="s">
        <v>10</v>
      </c>
      <c r="G158" s="76">
        <v>7.74</v>
      </c>
      <c r="H158" s="76">
        <v>4.82</v>
      </c>
      <c r="I158" s="77">
        <f t="shared" si="19"/>
        <v>13526.366400000001</v>
      </c>
      <c r="J158" s="227"/>
      <c r="K158" s="227"/>
      <c r="L158" s="227"/>
    </row>
    <row r="159" spans="1:12" s="202" customFormat="1" x14ac:dyDescent="0.3">
      <c r="A159" s="74" t="s">
        <v>316</v>
      </c>
      <c r="B159" s="107" t="s">
        <v>8</v>
      </c>
      <c r="C159" s="107">
        <v>270810</v>
      </c>
      <c r="D159" s="108" t="s">
        <v>357</v>
      </c>
      <c r="E159" s="116">
        <f>'MEMÓRIA DE CÁLCULO'!D563</f>
        <v>1</v>
      </c>
      <c r="F159" s="109" t="s">
        <v>99</v>
      </c>
      <c r="G159" s="78">
        <v>667.61</v>
      </c>
      <c r="H159" s="78">
        <v>3.99</v>
      </c>
      <c r="I159" s="77">
        <f t="shared" si="19"/>
        <v>671.6</v>
      </c>
      <c r="J159" s="227"/>
      <c r="K159" s="227"/>
      <c r="L159" s="227"/>
    </row>
    <row r="160" spans="1:12" s="202" customFormat="1" x14ac:dyDescent="0.3">
      <c r="A160" s="74" t="s">
        <v>317</v>
      </c>
      <c r="B160" s="107" t="s">
        <v>8</v>
      </c>
      <c r="C160" s="118">
        <v>270811</v>
      </c>
      <c r="D160" s="114" t="s">
        <v>427</v>
      </c>
      <c r="E160" s="115">
        <f>'MEMÓRIA DE CÁLCULO'!D566</f>
        <v>1</v>
      </c>
      <c r="F160" s="118" t="s">
        <v>40</v>
      </c>
      <c r="G160" s="119">
        <v>223.42</v>
      </c>
      <c r="H160" s="119">
        <v>314.18</v>
      </c>
      <c r="I160" s="117">
        <f t="shared" si="19"/>
        <v>537.6</v>
      </c>
      <c r="J160" s="200"/>
      <c r="K160" s="200"/>
      <c r="L160" s="200"/>
    </row>
    <row r="161" spans="1:15" s="202" customFormat="1" ht="24.75" customHeight="1" x14ac:dyDescent="0.3">
      <c r="A161" s="74" t="s">
        <v>493</v>
      </c>
      <c r="B161" s="107" t="s">
        <v>8</v>
      </c>
      <c r="C161" s="107">
        <v>271103</v>
      </c>
      <c r="D161" s="108" t="s">
        <v>358</v>
      </c>
      <c r="E161" s="109">
        <f>'MEMÓRIA DE CÁLCULO'!D569</f>
        <v>2</v>
      </c>
      <c r="F161" s="109" t="s">
        <v>359</v>
      </c>
      <c r="G161" s="78">
        <v>1406.15</v>
      </c>
      <c r="H161" s="78">
        <v>44.18</v>
      </c>
      <c r="I161" s="77">
        <f t="shared" si="19"/>
        <v>2900.6600000000003</v>
      </c>
      <c r="J161" s="227"/>
      <c r="K161" s="227"/>
      <c r="L161" s="227"/>
    </row>
    <row r="162" spans="1:15" s="202" customFormat="1" ht="26.4" x14ac:dyDescent="0.3">
      <c r="A162" s="74" t="s">
        <v>494</v>
      </c>
      <c r="B162" s="107" t="s">
        <v>8</v>
      </c>
      <c r="C162" s="107">
        <v>71303</v>
      </c>
      <c r="D162" s="108" t="s">
        <v>360</v>
      </c>
      <c r="E162" s="109">
        <f>'MEMÓRIA DE CÁLCULO'!D573</f>
        <v>21</v>
      </c>
      <c r="F162" s="107" t="s">
        <v>361</v>
      </c>
      <c r="G162" s="78">
        <v>205.37</v>
      </c>
      <c r="H162" s="78">
        <v>78.23</v>
      </c>
      <c r="I162" s="77">
        <f t="shared" si="19"/>
        <v>5955.6</v>
      </c>
      <c r="J162" s="227"/>
      <c r="K162" s="227"/>
      <c r="L162" s="227"/>
    </row>
    <row r="163" spans="1:15" s="202" customFormat="1" ht="26.4" x14ac:dyDescent="0.3">
      <c r="A163" s="74" t="s">
        <v>495</v>
      </c>
      <c r="B163" s="120" t="s">
        <v>29</v>
      </c>
      <c r="C163" s="107">
        <v>98516</v>
      </c>
      <c r="D163" s="108" t="s">
        <v>428</v>
      </c>
      <c r="E163" s="109">
        <f>'MEMÓRIA DE CÁLCULO'!D576</f>
        <v>3</v>
      </c>
      <c r="F163" s="120" t="s">
        <v>40</v>
      </c>
      <c r="G163" s="140">
        <v>272.08</v>
      </c>
      <c r="H163" s="141"/>
      <c r="I163" s="117">
        <f t="shared" si="19"/>
        <v>816.24</v>
      </c>
      <c r="J163" s="200"/>
      <c r="K163" s="200"/>
      <c r="L163" s="200"/>
    </row>
    <row r="164" spans="1:15" s="202" customFormat="1" x14ac:dyDescent="0.3">
      <c r="A164" s="74" t="s">
        <v>496</v>
      </c>
      <c r="B164" s="107" t="s">
        <v>429</v>
      </c>
      <c r="C164" s="107">
        <v>38528</v>
      </c>
      <c r="D164" s="108" t="s">
        <v>430</v>
      </c>
      <c r="E164" s="109">
        <f>'MEMÓRIA DE CÁLCULO'!D579</f>
        <v>6</v>
      </c>
      <c r="F164" s="120" t="s">
        <v>40</v>
      </c>
      <c r="G164" s="140">
        <v>30.19</v>
      </c>
      <c r="H164" s="141"/>
      <c r="I164" s="117">
        <f t="shared" si="19"/>
        <v>181.14000000000001</v>
      </c>
      <c r="J164" s="200"/>
      <c r="K164" s="200"/>
      <c r="L164" s="200"/>
    </row>
    <row r="165" spans="1:15" s="202" customFormat="1" x14ac:dyDescent="0.3">
      <c r="A165" s="74" t="s">
        <v>497</v>
      </c>
      <c r="B165" s="107" t="s">
        <v>429</v>
      </c>
      <c r="C165" s="107">
        <v>38531</v>
      </c>
      <c r="D165" s="108" t="s">
        <v>431</v>
      </c>
      <c r="E165" s="109">
        <f>'MEMÓRIA DE CÁLCULO'!D582</f>
        <v>18</v>
      </c>
      <c r="F165" s="120" t="s">
        <v>40</v>
      </c>
      <c r="G165" s="140">
        <v>16.38</v>
      </c>
      <c r="H165" s="141"/>
      <c r="I165" s="117">
        <f t="shared" si="19"/>
        <v>294.83999999999997</v>
      </c>
      <c r="J165" s="200"/>
      <c r="K165" s="200"/>
      <c r="L165" s="200"/>
    </row>
    <row r="166" spans="1:15" s="202" customFormat="1" ht="26.4" x14ac:dyDescent="0.3">
      <c r="A166" s="74" t="s">
        <v>498</v>
      </c>
      <c r="B166" s="120" t="s">
        <v>347</v>
      </c>
      <c r="C166" s="107">
        <v>359</v>
      </c>
      <c r="D166" s="108" t="s">
        <v>518</v>
      </c>
      <c r="E166" s="109">
        <f>'MEMÓRIA DE CÁLCULO'!D584</f>
        <v>13</v>
      </c>
      <c r="F166" s="120" t="s">
        <v>40</v>
      </c>
      <c r="G166" s="140">
        <v>91.28</v>
      </c>
      <c r="H166" s="141"/>
      <c r="I166" s="117">
        <f t="shared" si="19"/>
        <v>1186.6400000000001</v>
      </c>
      <c r="J166" s="200"/>
      <c r="K166" s="200"/>
      <c r="L166" s="200"/>
    </row>
    <row r="167" spans="1:15" s="202" customFormat="1" x14ac:dyDescent="0.3">
      <c r="A167" s="74" t="s">
        <v>499</v>
      </c>
      <c r="B167" s="120" t="s">
        <v>347</v>
      </c>
      <c r="C167" s="107">
        <v>38639</v>
      </c>
      <c r="D167" s="108" t="s">
        <v>432</v>
      </c>
      <c r="E167" s="109">
        <f>'MEMÓRIA DE CÁLCULO'!D588</f>
        <v>24</v>
      </c>
      <c r="F167" s="120" t="s">
        <v>40</v>
      </c>
      <c r="G167" s="140">
        <v>144.13</v>
      </c>
      <c r="H167" s="141"/>
      <c r="I167" s="117">
        <f t="shared" si="19"/>
        <v>3459.12</v>
      </c>
      <c r="J167" s="200"/>
      <c r="K167" s="200"/>
      <c r="L167" s="200"/>
    </row>
    <row r="168" spans="1:15" s="202" customFormat="1" ht="15" thickBot="1" x14ac:dyDescent="0.35">
      <c r="A168" s="74" t="s">
        <v>500</v>
      </c>
      <c r="B168" s="120" t="s">
        <v>468</v>
      </c>
      <c r="C168" s="107">
        <v>44455</v>
      </c>
      <c r="D168" s="108" t="s">
        <v>466</v>
      </c>
      <c r="E168" s="109">
        <f>'MEMÓRIA DE CÁLCULO'!D591</f>
        <v>134.02000000000001</v>
      </c>
      <c r="F168" s="120" t="s">
        <v>163</v>
      </c>
      <c r="G168" s="140">
        <v>43.84</v>
      </c>
      <c r="H168" s="141"/>
      <c r="I168" s="117">
        <f>(G168)*E168</f>
        <v>5875.4368000000013</v>
      </c>
      <c r="J168" s="200"/>
      <c r="K168" s="200"/>
      <c r="L168" s="200"/>
    </row>
    <row r="169" spans="1:15" ht="15" thickBot="1" x14ac:dyDescent="0.35">
      <c r="A169" s="135" t="s">
        <v>61</v>
      </c>
      <c r="B169" s="136"/>
      <c r="C169" s="136"/>
      <c r="D169" s="136"/>
      <c r="E169" s="136"/>
      <c r="F169" s="136"/>
      <c r="G169" s="136"/>
      <c r="H169" s="136"/>
      <c r="I169" s="72">
        <f>ROUND(SUM(I156:I168),2)</f>
        <v>48792.47</v>
      </c>
      <c r="J169" s="223">
        <f>I169*1.2388-I168*0.2388</f>
        <v>59041.057528159996</v>
      </c>
      <c r="K169" s="223">
        <f>H169*E169</f>
        <v>0</v>
      </c>
      <c r="L169" s="229"/>
      <c r="M169" s="230">
        <f>SUM(I157:I167,I153,I139,I133,I120,I116,I111,I106,I100,I95,I91,I82,I59,I47,I36,I26,I20,I15:I17,I125)</f>
        <v>556517.49762799998</v>
      </c>
      <c r="N169" s="220">
        <f>M169*1.2388</f>
        <v>689413.87606156629</v>
      </c>
      <c r="O169" s="220">
        <f>N169+I168</f>
        <v>695289.31286156632</v>
      </c>
    </row>
    <row r="170" spans="1:15" ht="15" thickBot="1" x14ac:dyDescent="0.35">
      <c r="A170" s="172"/>
      <c r="B170" s="231"/>
      <c r="C170" s="231"/>
      <c r="D170" s="232"/>
      <c r="E170" s="231"/>
      <c r="F170" s="233"/>
      <c r="G170" s="234"/>
      <c r="H170" s="234"/>
      <c r="I170" s="235"/>
    </row>
    <row r="171" spans="1:15" ht="15" thickBot="1" x14ac:dyDescent="0.35">
      <c r="A171" s="135" t="s">
        <v>62</v>
      </c>
      <c r="B171" s="136"/>
      <c r="C171" s="136"/>
      <c r="D171" s="136"/>
      <c r="E171" s="136"/>
      <c r="F171" s="136"/>
      <c r="G171" s="136"/>
      <c r="H171" s="136"/>
      <c r="I171" s="72">
        <f>SUM(I21,I26,I36,I47,I59,I82,I91,I106,I116,I125,I133,I139,I144,I153,I169,I100,I111,I120,I95)</f>
        <v>596512.69092800003</v>
      </c>
    </row>
    <row r="172" spans="1:15" ht="15" thickBot="1" x14ac:dyDescent="0.35">
      <c r="A172" s="135" t="s">
        <v>93</v>
      </c>
      <c r="B172" s="136"/>
      <c r="C172" s="136"/>
      <c r="D172" s="136"/>
      <c r="E172" s="136"/>
      <c r="F172" s="136"/>
      <c r="G172" s="136"/>
      <c r="H172" s="136"/>
      <c r="I172" s="72">
        <f>I171*0.2388-I168*0.2388</f>
        <v>141044.17628576641</v>
      </c>
      <c r="J172" s="177">
        <f>J169+J153+J144+J139+J133+J125+J120+J116+J111+J106+J100+J95+J91+J82+J59+J47+J36+J26+J21</f>
        <v>737556.86721376644</v>
      </c>
    </row>
    <row r="173" spans="1:15" ht="15" thickBot="1" x14ac:dyDescent="0.35">
      <c r="A173" s="135" t="s">
        <v>63</v>
      </c>
      <c r="B173" s="136"/>
      <c r="C173" s="136"/>
      <c r="D173" s="136"/>
      <c r="E173" s="136"/>
      <c r="F173" s="136"/>
      <c r="G173" s="136"/>
      <c r="H173" s="136"/>
      <c r="I173" s="72">
        <f>I172+I171</f>
        <v>737556.86721376644</v>
      </c>
    </row>
    <row r="174" spans="1:15" x14ac:dyDescent="0.3">
      <c r="A174" s="236"/>
      <c r="B174" s="237"/>
      <c r="C174" s="237"/>
      <c r="D174" s="237"/>
      <c r="E174" s="237"/>
      <c r="F174" s="237"/>
      <c r="G174" s="237"/>
      <c r="H174" s="237"/>
      <c r="I174" s="238"/>
    </row>
    <row r="175" spans="1:15" x14ac:dyDescent="0.3">
      <c r="A175" s="239"/>
      <c r="B175" s="240"/>
      <c r="C175" s="240"/>
      <c r="D175" s="240"/>
      <c r="E175" s="240"/>
      <c r="F175" s="240"/>
      <c r="G175" s="240"/>
      <c r="H175" s="240"/>
      <c r="I175" s="241"/>
    </row>
    <row r="176" spans="1:15" x14ac:dyDescent="0.3">
      <c r="A176" s="242"/>
      <c r="B176" s="243"/>
      <c r="C176" s="243"/>
      <c r="D176" s="244"/>
      <c r="E176" s="190"/>
      <c r="F176" s="245"/>
      <c r="G176" s="246"/>
      <c r="H176" s="246"/>
      <c r="I176" s="247"/>
    </row>
    <row r="177" spans="1:9" x14ac:dyDescent="0.3">
      <c r="A177" s="180"/>
      <c r="B177" s="190"/>
      <c r="C177" s="190"/>
      <c r="D177" s="244"/>
      <c r="E177" s="190"/>
      <c r="F177" s="245"/>
      <c r="G177" s="246"/>
      <c r="H177" s="246"/>
      <c r="I177" s="247"/>
    </row>
    <row r="178" spans="1:9" x14ac:dyDescent="0.3">
      <c r="A178" s="180"/>
      <c r="B178" s="190"/>
      <c r="C178" s="190"/>
      <c r="D178" s="244"/>
      <c r="E178" s="190"/>
      <c r="F178" s="245"/>
      <c r="G178" s="246"/>
      <c r="H178" s="246"/>
      <c r="I178" s="247"/>
    </row>
    <row r="179" spans="1:9" x14ac:dyDescent="0.3">
      <c r="A179" s="180"/>
      <c r="B179" s="190"/>
      <c r="C179" s="190"/>
      <c r="D179" s="244"/>
      <c r="E179" s="190"/>
      <c r="F179" s="245"/>
      <c r="G179" s="246"/>
      <c r="H179" s="246"/>
      <c r="I179" s="247"/>
    </row>
    <row r="180" spans="1:9" x14ac:dyDescent="0.3">
      <c r="A180" s="180"/>
      <c r="B180" s="190"/>
      <c r="C180" s="190"/>
      <c r="D180" s="190" t="s">
        <v>35</v>
      </c>
      <c r="E180" s="190"/>
      <c r="F180" s="245"/>
      <c r="G180" s="246"/>
      <c r="H180" s="246"/>
      <c r="I180" s="247"/>
    </row>
    <row r="181" spans="1:9" x14ac:dyDescent="0.3">
      <c r="A181" s="180"/>
      <c r="B181" s="190"/>
      <c r="C181" s="181"/>
      <c r="D181" s="181" t="s">
        <v>36</v>
      </c>
      <c r="E181" s="190"/>
      <c r="F181" s="248"/>
      <c r="G181" s="249"/>
      <c r="H181" s="246"/>
      <c r="I181" s="247"/>
    </row>
    <row r="182" spans="1:9" x14ac:dyDescent="0.3">
      <c r="A182" s="250"/>
      <c r="B182" s="181"/>
      <c r="C182" s="190"/>
      <c r="D182" s="190" t="s">
        <v>37</v>
      </c>
      <c r="E182" s="190"/>
      <c r="F182" s="245"/>
      <c r="G182" s="246"/>
      <c r="H182" s="249"/>
      <c r="I182" s="251"/>
    </row>
    <row r="183" spans="1:9" ht="15" thickBot="1" x14ac:dyDescent="0.35">
      <c r="A183" s="252"/>
      <c r="B183" s="253"/>
      <c r="C183" s="254"/>
      <c r="D183" s="254" t="s">
        <v>38</v>
      </c>
      <c r="E183" s="254"/>
      <c r="F183" s="255"/>
      <c r="G183" s="256"/>
      <c r="H183" s="257"/>
      <c r="I183" s="258"/>
    </row>
    <row r="184" spans="1:9" x14ac:dyDescent="0.3">
      <c r="A184" s="190"/>
      <c r="B184" s="181"/>
      <c r="C184" s="190"/>
      <c r="D184" s="244"/>
      <c r="E184" s="190"/>
      <c r="F184" s="245"/>
      <c r="G184" s="246"/>
      <c r="H184" s="249"/>
      <c r="I184" s="259"/>
    </row>
    <row r="185" spans="1:9" x14ac:dyDescent="0.3">
      <c r="A185" s="190"/>
      <c r="B185" s="181"/>
      <c r="C185" s="190"/>
      <c r="D185" s="244"/>
      <c r="E185" s="190"/>
      <c r="F185" s="245"/>
      <c r="G185" s="246"/>
      <c r="H185" s="249"/>
      <c r="I185" s="259"/>
    </row>
    <row r="186" spans="1:9" x14ac:dyDescent="0.3">
      <c r="A186" s="260" t="s">
        <v>34</v>
      </c>
      <c r="B186" s="181"/>
      <c r="C186" s="181"/>
      <c r="D186" s="244"/>
      <c r="E186" s="190"/>
      <c r="F186" s="248"/>
      <c r="G186" s="249"/>
      <c r="H186" s="249"/>
      <c r="I186" s="259"/>
    </row>
    <row r="187" spans="1:9" x14ac:dyDescent="0.3">
      <c r="A187" s="260"/>
      <c r="B187" s="181"/>
      <c r="C187" s="181"/>
      <c r="D187" s="244"/>
      <c r="E187" s="190"/>
      <c r="F187" s="248"/>
      <c r="G187" s="249"/>
      <c r="H187" s="249"/>
      <c r="I187" s="259"/>
    </row>
    <row r="188" spans="1:9" x14ac:dyDescent="0.3">
      <c r="A188" s="260"/>
      <c r="B188" s="181"/>
      <c r="C188" s="181"/>
      <c r="D188" s="261"/>
      <c r="E188" s="181"/>
      <c r="F188" s="248"/>
      <c r="G188" s="249"/>
      <c r="H188" s="249"/>
      <c r="I188" s="259"/>
    </row>
    <row r="189" spans="1:9" x14ac:dyDescent="0.3">
      <c r="A189" s="190"/>
      <c r="B189" s="181"/>
      <c r="C189" s="190"/>
      <c r="D189" s="244"/>
      <c r="E189" s="190"/>
      <c r="F189" s="245"/>
      <c r="G189" s="246"/>
      <c r="H189" s="249"/>
      <c r="I189" s="259"/>
    </row>
    <row r="190" spans="1:9" x14ac:dyDescent="0.3">
      <c r="A190" s="190"/>
      <c r="B190" s="181"/>
      <c r="C190" s="190"/>
      <c r="D190" s="244"/>
      <c r="E190" s="190"/>
      <c r="F190" s="245"/>
      <c r="G190" s="246"/>
      <c r="H190" s="249"/>
      <c r="I190" s="259"/>
    </row>
    <row r="191" spans="1:9" x14ac:dyDescent="0.3">
      <c r="A191" s="190"/>
      <c r="B191" s="181"/>
      <c r="C191" s="190"/>
      <c r="D191" s="244"/>
      <c r="E191" s="190"/>
      <c r="F191" s="245"/>
      <c r="G191" s="246"/>
      <c r="H191" s="249"/>
      <c r="I191" s="259"/>
    </row>
    <row r="192" spans="1:9" x14ac:dyDescent="0.3">
      <c r="A192" s="260" t="s">
        <v>34</v>
      </c>
      <c r="B192" s="181"/>
      <c r="C192" s="181"/>
      <c r="D192" s="244"/>
      <c r="E192" s="190"/>
      <c r="F192" s="248"/>
      <c r="G192" s="249"/>
      <c r="H192" s="249"/>
      <c r="I192" s="259"/>
    </row>
    <row r="193" spans="1:3" x14ac:dyDescent="0.3">
      <c r="A193" s="190"/>
      <c r="B193" s="190"/>
      <c r="C193" s="190"/>
    </row>
    <row r="194" spans="1:3" x14ac:dyDescent="0.3">
      <c r="A194" s="190"/>
      <c r="B194" s="190"/>
      <c r="C194" s="190"/>
    </row>
    <row r="195" spans="1:3" x14ac:dyDescent="0.3">
      <c r="A195" s="190"/>
      <c r="B195" s="190"/>
      <c r="C195" s="190"/>
    </row>
    <row r="196" spans="1:3" x14ac:dyDescent="0.3">
      <c r="A196" s="190"/>
      <c r="B196" s="190"/>
      <c r="C196" s="190"/>
    </row>
    <row r="197" spans="1:3" x14ac:dyDescent="0.3">
      <c r="A197" s="190"/>
      <c r="B197" s="190"/>
      <c r="C197" s="190"/>
    </row>
    <row r="198" spans="1:3" x14ac:dyDescent="0.3">
      <c r="A198" s="190"/>
      <c r="B198" s="190"/>
      <c r="C198" s="190"/>
    </row>
  </sheetData>
  <sheetProtection algorithmName="SHA-512" hashValue="0ydc5tqBbRVSdqHnE9+L2zuCueUbTIvY5KXLlz8pA/zsoBXHlVAd4IrHTI3mVUUPyd0muxgBT3uuRUI7sBR/Zw==" saltValue="RqoaGXlu8FDSwR62ufQaCw==" spinCount="100000" sheet="1" objects="1" scenarios="1" selectLockedCells="1"/>
  <mergeCells count="62">
    <mergeCell ref="G34:H34"/>
    <mergeCell ref="D93:I93"/>
    <mergeCell ref="A95:H95"/>
    <mergeCell ref="G81:H81"/>
    <mergeCell ref="G46:H46"/>
    <mergeCell ref="G58:H58"/>
    <mergeCell ref="D61:I61"/>
    <mergeCell ref="G77:H77"/>
    <mergeCell ref="G78:H78"/>
    <mergeCell ref="G79:H79"/>
    <mergeCell ref="A82:H82"/>
    <mergeCell ref="C1:I1"/>
    <mergeCell ref="C2:I2"/>
    <mergeCell ref="A21:H21"/>
    <mergeCell ref="D14:I14"/>
    <mergeCell ref="D23:I23"/>
    <mergeCell ref="G20:H20"/>
    <mergeCell ref="A176:C176"/>
    <mergeCell ref="A26:H26"/>
    <mergeCell ref="D28:I28"/>
    <mergeCell ref="A125:H125"/>
    <mergeCell ref="D38:I38"/>
    <mergeCell ref="D49:I49"/>
    <mergeCell ref="A36:H36"/>
    <mergeCell ref="A47:H47"/>
    <mergeCell ref="A111:H111"/>
    <mergeCell ref="A169:H169"/>
    <mergeCell ref="D122:I122"/>
    <mergeCell ref="A175:I175"/>
    <mergeCell ref="A174:I174"/>
    <mergeCell ref="D155:I155"/>
    <mergeCell ref="A91:H91"/>
    <mergeCell ref="A100:H100"/>
    <mergeCell ref="A172:H172"/>
    <mergeCell ref="A173:H173"/>
    <mergeCell ref="A133:H133"/>
    <mergeCell ref="A139:H139"/>
    <mergeCell ref="A153:H153"/>
    <mergeCell ref="A144:H144"/>
    <mergeCell ref="A171:H171"/>
    <mergeCell ref="D141:I141"/>
    <mergeCell ref="D146:I146"/>
    <mergeCell ref="D135:I135"/>
    <mergeCell ref="G163:H163"/>
    <mergeCell ref="G168:H168"/>
    <mergeCell ref="A120:H120"/>
    <mergeCell ref="G164:H164"/>
    <mergeCell ref="G165:H165"/>
    <mergeCell ref="G166:H166"/>
    <mergeCell ref="G167:H167"/>
    <mergeCell ref="D127:I127"/>
    <mergeCell ref="G99:H99"/>
    <mergeCell ref="G109:H109"/>
    <mergeCell ref="D102:I102"/>
    <mergeCell ref="A59:H59"/>
    <mergeCell ref="D118:I118"/>
    <mergeCell ref="D113:I113"/>
    <mergeCell ref="A106:H106"/>
    <mergeCell ref="A116:H116"/>
    <mergeCell ref="G110:H110"/>
    <mergeCell ref="D84:I84"/>
    <mergeCell ref="D97:I97"/>
  </mergeCells>
  <phoneticPr fontId="5" type="noConversion"/>
  <pageMargins left="0.70866141732283472" right="0.70866141732283472" top="0.59055118110236227" bottom="0.59055118110236227" header="0.31496062992125984" footer="0.31496062992125984"/>
  <pageSetup paperSize="9"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0"/>
  <sheetViews>
    <sheetView showGridLines="0" zoomScaleNormal="100" workbookViewId="0">
      <selection activeCell="F17" sqref="F17"/>
    </sheetView>
  </sheetViews>
  <sheetFormatPr defaultColWidth="8.88671875" defaultRowHeight="14.4" x14ac:dyDescent="0.3"/>
  <cols>
    <col min="1" max="1" width="11.44140625" style="263" customWidth="1"/>
    <col min="2" max="2" width="76.88671875" style="297" bestFit="1" customWidth="1"/>
    <col min="3" max="3" width="8.33203125" style="298" bestFit="1" customWidth="1"/>
    <col min="4" max="4" width="39.109375" style="299" customWidth="1"/>
    <col min="5" max="16384" width="8.88671875" style="179"/>
  </cols>
  <sheetData>
    <row r="1" spans="1:4" x14ac:dyDescent="0.3">
      <c r="A1" s="267"/>
      <c r="B1" s="268"/>
      <c r="C1" s="268"/>
      <c r="D1" s="269"/>
    </row>
    <row r="2" spans="1:4" x14ac:dyDescent="0.3">
      <c r="A2" s="270" t="s">
        <v>73</v>
      </c>
      <c r="B2" s="271"/>
      <c r="C2" s="271"/>
      <c r="D2" s="272"/>
    </row>
    <row r="3" spans="1:4" x14ac:dyDescent="0.3">
      <c r="A3" s="273" t="str">
        <f>ORÇAMENTO!C3</f>
        <v>SETOR</v>
      </c>
      <c r="B3" s="274" t="str">
        <f>ORÇAMENTO!D3</f>
        <v>SECRETARIA MUNICIPAL DE OBRAS</v>
      </c>
      <c r="C3" s="181"/>
      <c r="D3" s="272"/>
    </row>
    <row r="4" spans="1:4" x14ac:dyDescent="0.3">
      <c r="A4" s="273" t="str">
        <f>ORÇAMENTO!C4</f>
        <v>OBJETO</v>
      </c>
      <c r="B4" s="274" t="s">
        <v>94</v>
      </c>
      <c r="C4" s="181"/>
      <c r="D4" s="272"/>
    </row>
    <row r="5" spans="1:4" x14ac:dyDescent="0.3">
      <c r="A5" s="273" t="str">
        <f>ORÇAMENTO!C5</f>
        <v>PROCESSO</v>
      </c>
      <c r="B5" s="275">
        <f>ORÇAMENTO!D5</f>
        <v>2021029282</v>
      </c>
      <c r="C5" s="181"/>
      <c r="D5" s="272"/>
    </row>
    <row r="6" spans="1:4" ht="30" customHeight="1" x14ac:dyDescent="0.3">
      <c r="A6" s="273" t="str">
        <f>ORÇAMENTO!C6</f>
        <v>ENDEREÇO</v>
      </c>
      <c r="B6" s="244" t="str">
        <f>ORÇAMENTO!D6</f>
        <v>REPRESA DA BICA</v>
      </c>
      <c r="C6" s="181"/>
      <c r="D6" s="272"/>
    </row>
    <row r="7" spans="1:4" ht="26.4" x14ac:dyDescent="0.3">
      <c r="A7" s="273" t="str">
        <f>ORÇAMENTO!C7</f>
        <v>TABELAS</v>
      </c>
      <c r="B7" s="276" t="str">
        <f>ORÇAMENTO!D7</f>
        <v>TABELA GOINFRA 148 - CUSTOS DE OBRAS CIVIS - NOVEMBRO/2020 - DESONERADA - DATA BASE: 30/06/2021</v>
      </c>
      <c r="C7" s="181"/>
      <c r="D7" s="272"/>
    </row>
    <row r="8" spans="1:4" ht="27" x14ac:dyDescent="0.3">
      <c r="A8" s="273"/>
      <c r="B8" s="244" t="str">
        <f>ORÇAMENTO!D8</f>
        <v>TABELA SINAPI PCI.817.01 - CUSTO DE COMPOSIÇÕES - SINTÉTITICO - AGOSTO/2021 - COM DESONERAÇÃO - DATA BASE: 13/08/2021</v>
      </c>
      <c r="C8" s="181"/>
      <c r="D8" s="277"/>
    </row>
    <row r="9" spans="1:4" ht="27" x14ac:dyDescent="0.3">
      <c r="A9" s="273"/>
      <c r="B9" s="244" t="str">
        <f>ORÇAMENTO!D9</f>
        <v xml:space="preserve"> TABELA DE TERRAPLENAGEM, PAVIMENTAÇÃO E OBRAS DE ARTE ESPECIAIS - JUL/21 - COM DESONERAÇÃO - T152 DATA BASE: 30/06/2021</v>
      </c>
      <c r="C9" s="181"/>
      <c r="D9" s="272"/>
    </row>
    <row r="10" spans="1:4" ht="15" customHeight="1" thickBot="1" x14ac:dyDescent="0.35">
      <c r="A10" s="278" t="str">
        <f>ORÇAMENTO!C10</f>
        <v xml:space="preserve">DATA </v>
      </c>
      <c r="B10" s="279" t="s">
        <v>520</v>
      </c>
      <c r="C10" s="253"/>
      <c r="D10" s="280"/>
    </row>
    <row r="11" spans="1:4" ht="15" thickBot="1" x14ac:dyDescent="0.35">
      <c r="A11" s="253"/>
      <c r="B11" s="281"/>
      <c r="C11" s="253"/>
      <c r="D11" s="253"/>
    </row>
    <row r="12" spans="1:4" ht="15" thickBot="1" x14ac:dyDescent="0.35">
      <c r="A12" s="3">
        <v>1</v>
      </c>
      <c r="B12" s="4" t="s">
        <v>9</v>
      </c>
      <c r="C12" s="5"/>
      <c r="D12" s="5"/>
    </row>
    <row r="13" spans="1:4" ht="15" thickBot="1" x14ac:dyDescent="0.35">
      <c r="A13" s="6" t="s">
        <v>1</v>
      </c>
      <c r="B13" s="6" t="s">
        <v>65</v>
      </c>
      <c r="C13" s="6" t="s">
        <v>66</v>
      </c>
      <c r="D13" s="6" t="s">
        <v>67</v>
      </c>
    </row>
    <row r="14" spans="1:4" ht="39.6" x14ac:dyDescent="0.3">
      <c r="A14" s="7" t="str">
        <f>ORÇAMENTO!$A$15</f>
        <v>1.1</v>
      </c>
      <c r="B14" s="8" t="str">
        <f>ORÇAMENTO!D15</f>
        <v>CORTE/DESTOC./RETIRADA/REATERRO (MANUAIS) DE ÁRVORE GRANDE PORTE ( H = 8 A 10M / DIÂMETRO TRONCO 60 A 70CM E COPA DE 10 A 13M ) C/TRANSP.ATE CB. E CARGA</v>
      </c>
      <c r="C14" s="7" t="str">
        <f>ORÇAMENTO!F15</f>
        <v xml:space="preserve">Un </v>
      </c>
      <c r="D14" s="7" t="s">
        <v>30</v>
      </c>
    </row>
    <row r="15" spans="1:4" x14ac:dyDescent="0.3">
      <c r="A15" s="9"/>
      <c r="B15" s="10" t="s">
        <v>109</v>
      </c>
      <c r="C15" s="9" t="s">
        <v>40</v>
      </c>
      <c r="D15" s="11">
        <v>1</v>
      </c>
    </row>
    <row r="16" spans="1:4" ht="15" thickBot="1" x14ac:dyDescent="0.35">
      <c r="A16" s="146" t="s">
        <v>91</v>
      </c>
      <c r="B16" s="147"/>
      <c r="C16" s="148"/>
      <c r="D16" s="12">
        <f>D15</f>
        <v>1</v>
      </c>
    </row>
    <row r="17" spans="1:4" x14ac:dyDescent="0.3">
      <c r="A17" s="7" t="str">
        <f>ORÇAMENTO!A16</f>
        <v>1.2</v>
      </c>
      <c r="B17" s="13" t="str">
        <f>ORÇAMENTO!D16</f>
        <v>CAPINA - (OBRAS CIVIS)</v>
      </c>
      <c r="C17" s="7" t="str">
        <f>ORÇAMENTO!F16</f>
        <v>m2</v>
      </c>
      <c r="D17" s="7" t="s">
        <v>110</v>
      </c>
    </row>
    <row r="18" spans="1:4" x14ac:dyDescent="0.3">
      <c r="A18" s="9"/>
      <c r="B18" s="10" t="s">
        <v>111</v>
      </c>
      <c r="C18" s="9" t="s">
        <v>33</v>
      </c>
      <c r="D18" s="11">
        <v>404.82</v>
      </c>
    </row>
    <row r="19" spans="1:4" ht="15" thickBot="1" x14ac:dyDescent="0.35">
      <c r="A19" s="146" t="s">
        <v>91</v>
      </c>
      <c r="B19" s="147"/>
      <c r="C19" s="148"/>
      <c r="D19" s="12">
        <f>D18</f>
        <v>404.82</v>
      </c>
    </row>
    <row r="20" spans="1:4" ht="26.4" x14ac:dyDescent="0.3">
      <c r="A20" s="7" t="str">
        <f>ORÇAMENTO!A17</f>
        <v>1.3</v>
      </c>
      <c r="B20" s="13" t="str">
        <f>ORÇAMENTO!D17</f>
        <v>LOCAÇÃO DE PRAÇA, QUADRA, IMPLANTAÇÃO UTILIZANDO CAVALETE, INCLUSO PIQUETE COM TESTEMUNHA</v>
      </c>
      <c r="C20" s="14" t="str">
        <f>ORÇAMENTO!F17</f>
        <v xml:space="preserve">m2 </v>
      </c>
      <c r="D20" s="7" t="s">
        <v>110</v>
      </c>
    </row>
    <row r="21" spans="1:4" x14ac:dyDescent="0.3">
      <c r="A21" s="9"/>
      <c r="B21" s="15" t="s">
        <v>112</v>
      </c>
      <c r="C21" s="16" t="s">
        <v>33</v>
      </c>
      <c r="D21" s="17">
        <v>2708.87</v>
      </c>
    </row>
    <row r="22" spans="1:4" ht="15" thickBot="1" x14ac:dyDescent="0.35">
      <c r="A22" s="146" t="s">
        <v>91</v>
      </c>
      <c r="B22" s="147"/>
      <c r="C22" s="148"/>
      <c r="D22" s="12">
        <f>D21</f>
        <v>2708.87</v>
      </c>
    </row>
    <row r="23" spans="1:4" x14ac:dyDescent="0.3">
      <c r="A23" s="7" t="str">
        <f>ORÇAMENTO!A18</f>
        <v>1.4</v>
      </c>
      <c r="B23" s="13" t="str">
        <f>ORÇAMENTO!D18</f>
        <v xml:space="preserve">CONSUMO DE ÁGUA </v>
      </c>
      <c r="C23" s="14" t="str">
        <f>ORÇAMENTO!F18</f>
        <v xml:space="preserve">m3 </v>
      </c>
      <c r="D23" s="7" t="s">
        <v>114</v>
      </c>
    </row>
    <row r="24" spans="1:4" x14ac:dyDescent="0.3">
      <c r="A24" s="9" t="s">
        <v>80</v>
      </c>
      <c r="B24" s="15" t="s">
        <v>112</v>
      </c>
      <c r="C24" s="16" t="s">
        <v>33</v>
      </c>
      <c r="D24" s="17">
        <v>2708.87</v>
      </c>
    </row>
    <row r="25" spans="1:4" s="202" customFormat="1" x14ac:dyDescent="0.3">
      <c r="A25" s="107" t="s">
        <v>81</v>
      </c>
      <c r="B25" s="111" t="s">
        <v>113</v>
      </c>
      <c r="C25" s="120" t="s">
        <v>33</v>
      </c>
      <c r="D25" s="112">
        <f>ORÇAMENTO!$O$169/1580.1525</f>
        <v>440.01405741633567</v>
      </c>
    </row>
    <row r="26" spans="1:4" x14ac:dyDescent="0.3">
      <c r="A26" s="9" t="s">
        <v>82</v>
      </c>
      <c r="B26" s="18" t="s">
        <v>260</v>
      </c>
      <c r="C26" s="16" t="s">
        <v>261</v>
      </c>
      <c r="D26" s="19">
        <v>0.46279999999999999</v>
      </c>
    </row>
    <row r="27" spans="1:4" ht="15" thickBot="1" x14ac:dyDescent="0.35">
      <c r="A27" s="146" t="s">
        <v>115</v>
      </c>
      <c r="B27" s="147"/>
      <c r="C27" s="148"/>
      <c r="D27" s="12">
        <f>D26*D25</f>
        <v>203.63850577228015</v>
      </c>
    </row>
    <row r="28" spans="1:4" ht="30" customHeight="1" x14ac:dyDescent="0.3">
      <c r="A28" s="7" t="str">
        <f>ORÇAMENTO!A19</f>
        <v>1.5</v>
      </c>
      <c r="B28" s="13" t="str">
        <f>ORÇAMENTO!D19</f>
        <v xml:space="preserve">CONSUMO DE ENERGIA ELÉTRICA </v>
      </c>
      <c r="C28" s="14" t="str">
        <f>ORÇAMENTO!F19</f>
        <v xml:space="preserve">KWH </v>
      </c>
      <c r="D28" s="7" t="s">
        <v>114</v>
      </c>
    </row>
    <row r="29" spans="1:4" x14ac:dyDescent="0.3">
      <c r="A29" s="9" t="s">
        <v>80</v>
      </c>
      <c r="B29" s="15" t="s">
        <v>112</v>
      </c>
      <c r="C29" s="16" t="s">
        <v>33</v>
      </c>
      <c r="D29" s="17">
        <v>2708.87</v>
      </c>
    </row>
    <row r="30" spans="1:4" s="202" customFormat="1" x14ac:dyDescent="0.3">
      <c r="A30" s="107" t="s">
        <v>81</v>
      </c>
      <c r="B30" s="111" t="s">
        <v>113</v>
      </c>
      <c r="C30" s="120" t="s">
        <v>33</v>
      </c>
      <c r="D30" s="112">
        <f>ORÇAMENTO!$O$169/1580.1525</f>
        <v>440.01405741633567</v>
      </c>
    </row>
    <row r="31" spans="1:4" x14ac:dyDescent="0.3">
      <c r="A31" s="9" t="s">
        <v>82</v>
      </c>
      <c r="B31" s="18" t="s">
        <v>260</v>
      </c>
      <c r="C31" s="16" t="s">
        <v>262</v>
      </c>
      <c r="D31" s="19">
        <v>3.2951700000000002</v>
      </c>
    </row>
    <row r="32" spans="1:4" ht="15" thickBot="1" x14ac:dyDescent="0.35">
      <c r="A32" s="146" t="s">
        <v>115</v>
      </c>
      <c r="B32" s="147"/>
      <c r="C32" s="148"/>
      <c r="D32" s="12">
        <f>D31*D30</f>
        <v>1449.921121576587</v>
      </c>
    </row>
    <row r="33" spans="1:4" ht="30" customHeight="1" x14ac:dyDescent="0.3">
      <c r="A33" s="7" t="str">
        <f>ORÇAMENTO!A20</f>
        <v>1.6</v>
      </c>
      <c r="B33" s="13" t="str">
        <f>ORÇAMENTO!D20</f>
        <v>LOCACAO DE CONTAINER 2,30 X 6,00 M, ALT. 2,50 M, COM 1 SANITARIO, PARA ESCRITORIO, COMPLETO, SEM DIVISORIAS INTERNAS</v>
      </c>
      <c r="C33" s="14" t="str">
        <f>ORÇAMENTO!F20</f>
        <v xml:space="preserve">MES </v>
      </c>
      <c r="D33" s="7" t="s">
        <v>31</v>
      </c>
    </row>
    <row r="34" spans="1:4" x14ac:dyDescent="0.3">
      <c r="A34" s="9"/>
      <c r="B34" s="15" t="s">
        <v>31</v>
      </c>
      <c r="C34" s="16" t="s">
        <v>117</v>
      </c>
      <c r="D34" s="17">
        <v>5</v>
      </c>
    </row>
    <row r="35" spans="1:4" ht="15" thickBot="1" x14ac:dyDescent="0.35">
      <c r="A35" s="146" t="s">
        <v>91</v>
      </c>
      <c r="B35" s="147"/>
      <c r="C35" s="148"/>
      <c r="D35" s="12">
        <f>D34</f>
        <v>5</v>
      </c>
    </row>
    <row r="36" spans="1:4" ht="15" thickBot="1" x14ac:dyDescent="0.35">
      <c r="A36" s="3">
        <v>2</v>
      </c>
      <c r="B36" s="4" t="s">
        <v>11</v>
      </c>
      <c r="C36" s="5"/>
      <c r="D36" s="5"/>
    </row>
    <row r="37" spans="1:4" ht="15" thickBot="1" x14ac:dyDescent="0.35">
      <c r="A37" s="6" t="s">
        <v>1</v>
      </c>
      <c r="B37" s="6" t="s">
        <v>65</v>
      </c>
      <c r="C37" s="6" t="s">
        <v>66</v>
      </c>
      <c r="D37" s="6" t="s">
        <v>67</v>
      </c>
    </row>
    <row r="38" spans="1:4" x14ac:dyDescent="0.3">
      <c r="A38" s="20" t="str">
        <f>ORÇAMENTO!A24</f>
        <v>2.1</v>
      </c>
      <c r="B38" s="21" t="str">
        <f>ORÇAMENTO!D24</f>
        <v xml:space="preserve">TRANSPORTE DE ENTULHO EM CAMINHÃO INCLUSO A CARGA MANUAL </v>
      </c>
      <c r="C38" s="22" t="str">
        <f>ORÇAMENTO!F24</f>
        <v xml:space="preserve">m3 </v>
      </c>
      <c r="D38" s="22" t="s">
        <v>122</v>
      </c>
    </row>
    <row r="39" spans="1:4" x14ac:dyDescent="0.3">
      <c r="A39" s="23"/>
      <c r="B39" s="15" t="s">
        <v>123</v>
      </c>
      <c r="C39" s="16" t="s">
        <v>32</v>
      </c>
      <c r="D39" s="17">
        <f>D19*0.05</f>
        <v>20.241</v>
      </c>
    </row>
    <row r="40" spans="1:4" ht="15" thickBot="1" x14ac:dyDescent="0.35">
      <c r="A40" s="146" t="s">
        <v>91</v>
      </c>
      <c r="B40" s="147"/>
      <c r="C40" s="148"/>
      <c r="D40" s="12">
        <f>D39</f>
        <v>20.241</v>
      </c>
    </row>
    <row r="41" spans="1:4" x14ac:dyDescent="0.3">
      <c r="A41" s="20" t="str">
        <f>ORÇAMENTO!A25</f>
        <v>2.2</v>
      </c>
      <c r="B41" s="21" t="str">
        <f>ORÇAMENTO!D25</f>
        <v xml:space="preserve">TRANSPORTE DE ENTULHO CAÇAMBA ESTACIONÁRIA SEM CARGA </v>
      </c>
      <c r="C41" s="24" t="str">
        <f>ORÇAMENTO!F25</f>
        <v xml:space="preserve">m3 </v>
      </c>
      <c r="D41" s="22" t="s">
        <v>122</v>
      </c>
    </row>
    <row r="42" spans="1:4" x14ac:dyDescent="0.3">
      <c r="A42" s="23" t="s">
        <v>80</v>
      </c>
      <c r="B42" s="15" t="s">
        <v>112</v>
      </c>
      <c r="C42" s="22" t="s">
        <v>32</v>
      </c>
      <c r="D42" s="17">
        <f>D22</f>
        <v>2708.87</v>
      </c>
    </row>
    <row r="43" spans="1:4" x14ac:dyDescent="0.3">
      <c r="A43" s="9" t="s">
        <v>81</v>
      </c>
      <c r="B43" s="15" t="s">
        <v>124</v>
      </c>
      <c r="C43" s="25" t="s">
        <v>263</v>
      </c>
      <c r="D43" s="123">
        <v>0.01</v>
      </c>
    </row>
    <row r="44" spans="1:4" ht="15" thickBot="1" x14ac:dyDescent="0.35">
      <c r="A44" s="146" t="s">
        <v>125</v>
      </c>
      <c r="B44" s="147"/>
      <c r="C44" s="148"/>
      <c r="D44" s="12">
        <f>D42*D43</f>
        <v>27.088699999999999</v>
      </c>
    </row>
    <row r="45" spans="1:4" ht="15" thickBot="1" x14ac:dyDescent="0.35">
      <c r="A45" s="3">
        <v>3</v>
      </c>
      <c r="B45" s="4" t="s">
        <v>74</v>
      </c>
      <c r="C45" s="5"/>
      <c r="D45" s="5"/>
    </row>
    <row r="46" spans="1:4" ht="15" thickBot="1" x14ac:dyDescent="0.35">
      <c r="A46" s="6" t="s">
        <v>1</v>
      </c>
      <c r="B46" s="6" t="s">
        <v>65</v>
      </c>
      <c r="C46" s="6" t="s">
        <v>66</v>
      </c>
      <c r="D46" s="6" t="s">
        <v>67</v>
      </c>
    </row>
    <row r="47" spans="1:4" x14ac:dyDescent="0.3">
      <c r="A47" s="20" t="str">
        <f>ORÇAMENTO!A29</f>
        <v>3.1</v>
      </c>
      <c r="B47" s="21" t="str">
        <f>ORÇAMENTO!D29</f>
        <v xml:space="preserve">ESCAVACAO MANUAL DE VALAS &lt; 1 MTS. (OBRAS CIVIS) </v>
      </c>
      <c r="C47" s="24" t="str">
        <f>ORÇAMENTO!F29</f>
        <v xml:space="preserve">m3 </v>
      </c>
      <c r="D47" s="22" t="s">
        <v>371</v>
      </c>
    </row>
    <row r="48" spans="1:4" x14ac:dyDescent="0.3">
      <c r="A48" s="23"/>
      <c r="B48" s="15" t="s">
        <v>370</v>
      </c>
      <c r="C48" s="16"/>
      <c r="D48" s="17"/>
    </row>
    <row r="49" spans="1:4" x14ac:dyDescent="0.3">
      <c r="A49" s="23"/>
      <c r="B49" s="15" t="s">
        <v>373</v>
      </c>
      <c r="C49" s="25" t="s">
        <v>40</v>
      </c>
      <c r="D49" s="26">
        <v>2</v>
      </c>
    </row>
    <row r="50" spans="1:4" x14ac:dyDescent="0.3">
      <c r="A50" s="9"/>
      <c r="B50" s="15" t="s">
        <v>154</v>
      </c>
      <c r="C50" s="25" t="s">
        <v>163</v>
      </c>
      <c r="D50" s="26">
        <f>2*16.5+2*8.47</f>
        <v>49.94</v>
      </c>
    </row>
    <row r="51" spans="1:4" x14ac:dyDescent="0.3">
      <c r="A51" s="23"/>
      <c r="B51" s="15" t="s">
        <v>510</v>
      </c>
      <c r="C51" s="25" t="s">
        <v>33</v>
      </c>
      <c r="D51" s="26">
        <f>0.14*0.25</f>
        <v>3.5000000000000003E-2</v>
      </c>
    </row>
    <row r="52" spans="1:4" ht="15" thickBot="1" x14ac:dyDescent="0.35">
      <c r="A52" s="146" t="s">
        <v>91</v>
      </c>
      <c r="B52" s="147"/>
      <c r="C52" s="148"/>
      <c r="D52" s="12">
        <f>D51*D50*D49</f>
        <v>3.4958</v>
      </c>
    </row>
    <row r="53" spans="1:4" s="282" customFormat="1" x14ac:dyDescent="0.3">
      <c r="A53" s="20" t="str">
        <f>ORÇAMENTO!A30</f>
        <v>3.2</v>
      </c>
      <c r="B53" s="21" t="str">
        <f>ORÇAMENTO!D30</f>
        <v xml:space="preserve">APILOAMENTO MECÂNICO </v>
      </c>
      <c r="C53" s="24" t="str">
        <f>ORÇAMENTO!F30</f>
        <v xml:space="preserve">m2 </v>
      </c>
      <c r="D53" s="27" t="s">
        <v>110</v>
      </c>
    </row>
    <row r="54" spans="1:4" s="202" customFormat="1" x14ac:dyDescent="0.3">
      <c r="A54" s="107"/>
      <c r="B54" s="111" t="s">
        <v>417</v>
      </c>
      <c r="C54" s="112" t="s">
        <v>33</v>
      </c>
      <c r="D54" s="112">
        <v>607.82000000000005</v>
      </c>
    </row>
    <row r="55" spans="1:4" s="202" customFormat="1" x14ac:dyDescent="0.3">
      <c r="A55" s="107"/>
      <c r="B55" s="111" t="s">
        <v>418</v>
      </c>
      <c r="C55" s="112" t="s">
        <v>33</v>
      </c>
      <c r="D55" s="112">
        <v>87.96</v>
      </c>
    </row>
    <row r="56" spans="1:4" x14ac:dyDescent="0.3">
      <c r="A56" s="23"/>
      <c r="B56" s="15" t="s">
        <v>374</v>
      </c>
      <c r="C56" s="25" t="s">
        <v>10</v>
      </c>
      <c r="D56" s="26">
        <f>2*18*9</f>
        <v>324</v>
      </c>
    </row>
    <row r="57" spans="1:4" ht="15" thickBot="1" x14ac:dyDescent="0.35">
      <c r="A57" s="146" t="s">
        <v>91</v>
      </c>
      <c r="B57" s="147"/>
      <c r="C57" s="148"/>
      <c r="D57" s="12">
        <f>SUM(D54:D56)</f>
        <v>1019.7800000000001</v>
      </c>
    </row>
    <row r="58" spans="1:4" x14ac:dyDescent="0.3">
      <c r="A58" s="20" t="str">
        <f>ORÇAMENTO!A31</f>
        <v>3.3</v>
      </c>
      <c r="B58" s="21" t="str">
        <f>ORÇAMENTO!D31</f>
        <v xml:space="preserve">ESCAVACAO MECANICA </v>
      </c>
      <c r="C58" s="24" t="str">
        <f>ORÇAMENTO!F31</f>
        <v xml:space="preserve">m3 </v>
      </c>
      <c r="D58" s="22" t="s">
        <v>371</v>
      </c>
    </row>
    <row r="59" spans="1:4" x14ac:dyDescent="0.3">
      <c r="A59" s="23"/>
      <c r="B59" s="15" t="s">
        <v>375</v>
      </c>
      <c r="C59" s="16"/>
      <c r="D59" s="17"/>
    </row>
    <row r="60" spans="1:4" x14ac:dyDescent="0.3">
      <c r="A60" s="23"/>
      <c r="B60" s="15" t="s">
        <v>373</v>
      </c>
      <c r="C60" s="25" t="s">
        <v>40</v>
      </c>
      <c r="D60" s="26">
        <v>2</v>
      </c>
    </row>
    <row r="61" spans="1:4" x14ac:dyDescent="0.3">
      <c r="A61" s="9"/>
      <c r="B61" s="15" t="s">
        <v>376</v>
      </c>
      <c r="C61" s="25" t="s">
        <v>163</v>
      </c>
      <c r="D61" s="26">
        <v>0.25</v>
      </c>
    </row>
    <row r="62" spans="1:4" x14ac:dyDescent="0.3">
      <c r="A62" s="23"/>
      <c r="B62" s="15" t="s">
        <v>110</v>
      </c>
      <c r="C62" s="25" t="s">
        <v>33</v>
      </c>
      <c r="D62" s="26">
        <f>18*9</f>
        <v>162</v>
      </c>
    </row>
    <row r="63" spans="1:4" x14ac:dyDescent="0.3">
      <c r="A63" s="160" t="s">
        <v>161</v>
      </c>
      <c r="B63" s="161"/>
      <c r="C63" s="162"/>
      <c r="D63" s="17">
        <f>D62*D61*D60</f>
        <v>81</v>
      </c>
    </row>
    <row r="64" spans="1:4" s="283" customFormat="1" ht="15" thickBot="1" x14ac:dyDescent="0.35">
      <c r="A64" s="146" t="s">
        <v>91</v>
      </c>
      <c r="B64" s="147"/>
      <c r="C64" s="148"/>
      <c r="D64" s="12">
        <f>D63</f>
        <v>81</v>
      </c>
    </row>
    <row r="65" spans="1:4" x14ac:dyDescent="0.3">
      <c r="A65" s="20" t="str">
        <f>ORÇAMENTO!A32</f>
        <v>3.4</v>
      </c>
      <c r="B65" s="21" t="str">
        <f>ORÇAMENTO!D32</f>
        <v xml:space="preserve">CARGA MECANIZADA </v>
      </c>
      <c r="C65" s="24" t="str">
        <f>ORÇAMENTO!F32</f>
        <v xml:space="preserve">m3 </v>
      </c>
      <c r="D65" s="22" t="s">
        <v>371</v>
      </c>
    </row>
    <row r="66" spans="1:4" x14ac:dyDescent="0.3">
      <c r="A66" s="9"/>
      <c r="B66" s="15" t="s">
        <v>396</v>
      </c>
      <c r="C66" s="16" t="s">
        <v>32</v>
      </c>
      <c r="D66" s="17">
        <v>400</v>
      </c>
    </row>
    <row r="67" spans="1:4" x14ac:dyDescent="0.3">
      <c r="A67" s="23"/>
      <c r="B67" s="15" t="s">
        <v>397</v>
      </c>
      <c r="C67" s="16" t="s">
        <v>263</v>
      </c>
      <c r="D67" s="17">
        <v>25</v>
      </c>
    </row>
    <row r="68" spans="1:4" ht="15" thickBot="1" x14ac:dyDescent="0.35">
      <c r="A68" s="146" t="s">
        <v>91</v>
      </c>
      <c r="B68" s="147"/>
      <c r="C68" s="148"/>
      <c r="D68" s="12">
        <f>D66*1.25</f>
        <v>500</v>
      </c>
    </row>
    <row r="69" spans="1:4" ht="26.4" x14ac:dyDescent="0.3">
      <c r="A69" s="20" t="str">
        <f>ORÇAMENTO!A33</f>
        <v>3.5</v>
      </c>
      <c r="B69" s="21" t="str">
        <f>ORÇAMENTO!D33</f>
        <v>REGULARIZAÇÃO DO TERRENO SEM APILOAMENTO COM TRANSPORTE MANUAL DA TERRA ESCAVADA</v>
      </c>
      <c r="C69" s="24" t="str">
        <f>ORÇAMENTO!F33</f>
        <v xml:space="preserve">m2 </v>
      </c>
      <c r="D69" s="22" t="s">
        <v>110</v>
      </c>
    </row>
    <row r="70" spans="1:4" x14ac:dyDescent="0.3">
      <c r="A70" s="9"/>
      <c r="B70" s="15" t="s">
        <v>511</v>
      </c>
      <c r="C70" s="16" t="s">
        <v>10</v>
      </c>
      <c r="D70" s="17">
        <v>2118.9699999999998</v>
      </c>
    </row>
    <row r="71" spans="1:4" ht="15" thickBot="1" x14ac:dyDescent="0.35">
      <c r="A71" s="146" t="s">
        <v>91</v>
      </c>
      <c r="B71" s="147"/>
      <c r="C71" s="148"/>
      <c r="D71" s="12">
        <f>D70</f>
        <v>2118.9699999999998</v>
      </c>
    </row>
    <row r="72" spans="1:4" x14ac:dyDescent="0.3">
      <c r="A72" s="20" t="str">
        <f>ORÇAMENTO!A34</f>
        <v>3.6</v>
      </c>
      <c r="B72" s="21" t="str">
        <f>ORÇAMENTO!D34</f>
        <v xml:space="preserve">ARGILA OU BARRO PARA ATERRO/REATERRO (COM TRANSPORTE ATE 10 KM) </v>
      </c>
      <c r="C72" s="24" t="str">
        <f>ORÇAMENTO!F34</f>
        <v xml:space="preserve">M3 </v>
      </c>
      <c r="D72" s="22" t="s">
        <v>371</v>
      </c>
    </row>
    <row r="73" spans="1:4" x14ac:dyDescent="0.3">
      <c r="A73" s="9"/>
      <c r="B73" s="15" t="s">
        <v>396</v>
      </c>
      <c r="C73" s="16" t="s">
        <v>32</v>
      </c>
      <c r="D73" s="17">
        <v>400</v>
      </c>
    </row>
    <row r="74" spans="1:4" x14ac:dyDescent="0.3">
      <c r="A74" s="23"/>
      <c r="B74" s="15" t="s">
        <v>397</v>
      </c>
      <c r="C74" s="16" t="s">
        <v>263</v>
      </c>
      <c r="D74" s="17">
        <v>25</v>
      </c>
    </row>
    <row r="75" spans="1:4" ht="15" thickBot="1" x14ac:dyDescent="0.35">
      <c r="A75" s="146" t="s">
        <v>91</v>
      </c>
      <c r="B75" s="147"/>
      <c r="C75" s="148"/>
      <c r="D75" s="12">
        <f>D73*1.25</f>
        <v>500</v>
      </c>
    </row>
    <row r="76" spans="1:4" x14ac:dyDescent="0.3">
      <c r="A76" s="20" t="str">
        <f>ORÇAMENTO!A35</f>
        <v>3.7</v>
      </c>
      <c r="B76" s="21" t="str">
        <f>ORÇAMENTO!D35</f>
        <v xml:space="preserve">COMPACTAÇÃO MECÂNICA SEM CONTROLE LABORATÓRIO </v>
      </c>
      <c r="C76" s="24" t="str">
        <f>ORÇAMENTO!F35</f>
        <v xml:space="preserve">m3 </v>
      </c>
      <c r="D76" s="22" t="s">
        <v>122</v>
      </c>
    </row>
    <row r="77" spans="1:4" x14ac:dyDescent="0.3">
      <c r="A77" s="9"/>
      <c r="B77" s="15" t="s">
        <v>396</v>
      </c>
      <c r="C77" s="16" t="s">
        <v>32</v>
      </c>
      <c r="D77" s="17">
        <v>400</v>
      </c>
    </row>
    <row r="78" spans="1:4" ht="15" thickBot="1" x14ac:dyDescent="0.35">
      <c r="A78" s="146" t="s">
        <v>91</v>
      </c>
      <c r="B78" s="147"/>
      <c r="C78" s="148"/>
      <c r="D78" s="12">
        <f>D77</f>
        <v>400</v>
      </c>
    </row>
    <row r="79" spans="1:4" ht="15" thickBot="1" x14ac:dyDescent="0.35">
      <c r="A79" s="3">
        <v>4</v>
      </c>
      <c r="B79" s="4" t="s">
        <v>75</v>
      </c>
      <c r="C79" s="5"/>
      <c r="D79" s="5"/>
    </row>
    <row r="80" spans="1:4" ht="15" thickBot="1" x14ac:dyDescent="0.35">
      <c r="A80" s="6" t="s">
        <v>1</v>
      </c>
      <c r="B80" s="6" t="s">
        <v>65</v>
      </c>
      <c r="C80" s="6" t="s">
        <v>66</v>
      </c>
      <c r="D80" s="6" t="s">
        <v>67</v>
      </c>
    </row>
    <row r="81" spans="1:4" s="283" customFormat="1" x14ac:dyDescent="0.3">
      <c r="A81" s="29" t="str">
        <f>ORÇAMENTO!A39</f>
        <v>4.1</v>
      </c>
      <c r="B81" s="30" t="str">
        <f>ORÇAMENTO!D39</f>
        <v xml:space="preserve">ESTACA A TRADO DIAM.25 CM SEM FERRO </v>
      </c>
      <c r="C81" s="31" t="str">
        <f>ORÇAMENTO!F39</f>
        <v xml:space="preserve">M </v>
      </c>
      <c r="D81" s="32" t="s">
        <v>154</v>
      </c>
    </row>
    <row r="82" spans="1:4" x14ac:dyDescent="0.3">
      <c r="A82" s="9"/>
      <c r="B82" s="153" t="s">
        <v>153</v>
      </c>
      <c r="C82" s="154"/>
      <c r="D82" s="155"/>
    </row>
    <row r="83" spans="1:4" x14ac:dyDescent="0.3">
      <c r="A83" s="9"/>
      <c r="B83" s="15" t="s">
        <v>155</v>
      </c>
      <c r="C83" s="16" t="s">
        <v>40</v>
      </c>
      <c r="D83" s="28">
        <v>5</v>
      </c>
    </row>
    <row r="84" spans="1:4" x14ac:dyDescent="0.3">
      <c r="A84" s="9"/>
      <c r="B84" s="15" t="s">
        <v>156</v>
      </c>
      <c r="C84" s="16" t="s">
        <v>163</v>
      </c>
      <c r="D84" s="28">
        <v>1.5</v>
      </c>
    </row>
    <row r="85" spans="1:4" ht="15" thickBot="1" x14ac:dyDescent="0.35">
      <c r="A85" s="146" t="s">
        <v>91</v>
      </c>
      <c r="B85" s="147"/>
      <c r="C85" s="148"/>
      <c r="D85" s="12">
        <f>D83*D84</f>
        <v>7.5</v>
      </c>
    </row>
    <row r="86" spans="1:4" s="283" customFormat="1" x14ac:dyDescent="0.3">
      <c r="A86" s="29" t="str">
        <f>ORÇAMENTO!A40</f>
        <v>4.2</v>
      </c>
      <c r="B86" s="30" t="str">
        <f>ORÇAMENTO!D40</f>
        <v xml:space="preserve">ESCAVACAO MANUAL DE VALAS (SAPATAS/BLOCOS) </v>
      </c>
      <c r="C86" s="31" t="str">
        <f>ORÇAMENTO!F40</f>
        <v xml:space="preserve">m3 </v>
      </c>
      <c r="D86" s="32" t="s">
        <v>122</v>
      </c>
    </row>
    <row r="87" spans="1:4" x14ac:dyDescent="0.3">
      <c r="A87" s="9"/>
      <c r="B87" s="153" t="s">
        <v>157</v>
      </c>
      <c r="C87" s="154"/>
      <c r="D87" s="155"/>
    </row>
    <row r="88" spans="1:4" x14ac:dyDescent="0.3">
      <c r="A88" s="9"/>
      <c r="B88" s="15" t="s">
        <v>159</v>
      </c>
      <c r="C88" s="16" t="s">
        <v>40</v>
      </c>
      <c r="D88" s="33">
        <v>3</v>
      </c>
    </row>
    <row r="89" spans="1:4" x14ac:dyDescent="0.3">
      <c r="A89" s="9"/>
      <c r="B89" s="15" t="s">
        <v>158</v>
      </c>
      <c r="C89" s="16" t="s">
        <v>40</v>
      </c>
      <c r="D89" s="28">
        <v>6</v>
      </c>
    </row>
    <row r="90" spans="1:4" x14ac:dyDescent="0.3">
      <c r="A90" s="9"/>
      <c r="B90" s="15" t="s">
        <v>160</v>
      </c>
      <c r="C90" s="16" t="s">
        <v>32</v>
      </c>
      <c r="D90" s="28">
        <f>0.4*0.4*0.45</f>
        <v>7.2000000000000022E-2</v>
      </c>
    </row>
    <row r="91" spans="1:4" x14ac:dyDescent="0.3">
      <c r="A91" s="151" t="s">
        <v>161</v>
      </c>
      <c r="B91" s="152"/>
      <c r="C91" s="152"/>
      <c r="D91" s="34">
        <f>D88*D89*D90</f>
        <v>1.2960000000000005</v>
      </c>
    </row>
    <row r="92" spans="1:4" x14ac:dyDescent="0.3">
      <c r="A92" s="9"/>
      <c r="B92" s="153" t="s">
        <v>153</v>
      </c>
      <c r="C92" s="154"/>
      <c r="D92" s="155"/>
    </row>
    <row r="93" spans="1:4" x14ac:dyDescent="0.3">
      <c r="A93" s="9"/>
      <c r="B93" s="15" t="s">
        <v>159</v>
      </c>
      <c r="C93" s="16" t="s">
        <v>40</v>
      </c>
      <c r="D93" s="28">
        <v>1</v>
      </c>
    </row>
    <row r="94" spans="1:4" x14ac:dyDescent="0.3">
      <c r="A94" s="9"/>
      <c r="B94" s="15" t="s">
        <v>158</v>
      </c>
      <c r="C94" s="16" t="s">
        <v>40</v>
      </c>
      <c r="D94" s="28">
        <v>5</v>
      </c>
    </row>
    <row r="95" spans="1:4" x14ac:dyDescent="0.3">
      <c r="A95" s="9"/>
      <c r="B95" s="15" t="s">
        <v>160</v>
      </c>
      <c r="C95" s="16" t="s">
        <v>32</v>
      </c>
      <c r="D95" s="28">
        <f>0.5*0.6*0.6</f>
        <v>0.18</v>
      </c>
    </row>
    <row r="96" spans="1:4" x14ac:dyDescent="0.3">
      <c r="A96" s="151" t="s">
        <v>161</v>
      </c>
      <c r="B96" s="152"/>
      <c r="C96" s="152"/>
      <c r="D96" s="34">
        <f>D93*D94*D95</f>
        <v>0.89999999999999991</v>
      </c>
    </row>
    <row r="97" spans="1:4" ht="15" thickBot="1" x14ac:dyDescent="0.35">
      <c r="A97" s="146" t="s">
        <v>91</v>
      </c>
      <c r="B97" s="147"/>
      <c r="C97" s="148"/>
      <c r="D97" s="12">
        <f>D91+D96</f>
        <v>2.1960000000000006</v>
      </c>
    </row>
    <row r="98" spans="1:4" s="283" customFormat="1" x14ac:dyDescent="0.3">
      <c r="A98" s="29" t="str">
        <f>ORÇAMENTO!A41</f>
        <v>4.3</v>
      </c>
      <c r="B98" s="30" t="str">
        <f>ORÇAMENTO!D41</f>
        <v xml:space="preserve">APILOAMENTO (BLOCOS/SAPATAS) </v>
      </c>
      <c r="C98" s="31" t="str">
        <f>ORÇAMENTO!F41</f>
        <v xml:space="preserve">m2 </v>
      </c>
      <c r="D98" s="35"/>
    </row>
    <row r="99" spans="1:4" x14ac:dyDescent="0.3">
      <c r="A99" s="9"/>
      <c r="B99" s="153" t="s">
        <v>157</v>
      </c>
      <c r="C99" s="154"/>
      <c r="D99" s="155"/>
    </row>
    <row r="100" spans="1:4" x14ac:dyDescent="0.3">
      <c r="A100" s="9"/>
      <c r="B100" s="15" t="s">
        <v>159</v>
      </c>
      <c r="C100" s="16" t="s">
        <v>40</v>
      </c>
      <c r="D100" s="33">
        <v>3</v>
      </c>
    </row>
    <row r="101" spans="1:4" x14ac:dyDescent="0.3">
      <c r="A101" s="9"/>
      <c r="B101" s="15" t="s">
        <v>158</v>
      </c>
      <c r="C101" s="16" t="s">
        <v>40</v>
      </c>
      <c r="D101" s="28">
        <v>6</v>
      </c>
    </row>
    <row r="102" spans="1:4" x14ac:dyDescent="0.3">
      <c r="A102" s="9"/>
      <c r="B102" s="15" t="s">
        <v>162</v>
      </c>
      <c r="C102" s="16" t="s">
        <v>10</v>
      </c>
      <c r="D102" s="28">
        <f>0.4*0.4</f>
        <v>0.16000000000000003</v>
      </c>
    </row>
    <row r="103" spans="1:4" x14ac:dyDescent="0.3">
      <c r="A103" s="151" t="s">
        <v>161</v>
      </c>
      <c r="B103" s="152"/>
      <c r="C103" s="152"/>
      <c r="D103" s="34">
        <f>D100*D101*D102</f>
        <v>2.8800000000000008</v>
      </c>
    </row>
    <row r="104" spans="1:4" x14ac:dyDescent="0.3">
      <c r="A104" s="9"/>
      <c r="B104" s="153" t="s">
        <v>153</v>
      </c>
      <c r="C104" s="154"/>
      <c r="D104" s="155"/>
    </row>
    <row r="105" spans="1:4" x14ac:dyDescent="0.3">
      <c r="A105" s="9"/>
      <c r="B105" s="15" t="s">
        <v>159</v>
      </c>
      <c r="C105" s="16" t="s">
        <v>40</v>
      </c>
      <c r="D105" s="28">
        <v>1</v>
      </c>
    </row>
    <row r="106" spans="1:4" x14ac:dyDescent="0.3">
      <c r="A106" s="9"/>
      <c r="B106" s="15" t="s">
        <v>158</v>
      </c>
      <c r="C106" s="16" t="s">
        <v>40</v>
      </c>
      <c r="D106" s="28">
        <v>5</v>
      </c>
    </row>
    <row r="107" spans="1:4" x14ac:dyDescent="0.3">
      <c r="A107" s="9"/>
      <c r="B107" s="15" t="s">
        <v>162</v>
      </c>
      <c r="C107" s="16" t="s">
        <v>10</v>
      </c>
      <c r="D107" s="28">
        <f>0.6*0.6</f>
        <v>0.36</v>
      </c>
    </row>
    <row r="108" spans="1:4" x14ac:dyDescent="0.3">
      <c r="A108" s="151" t="s">
        <v>161</v>
      </c>
      <c r="B108" s="152"/>
      <c r="C108" s="152"/>
      <c r="D108" s="34">
        <f>D105*D106*D107</f>
        <v>1.7999999999999998</v>
      </c>
    </row>
    <row r="109" spans="1:4" ht="15" thickBot="1" x14ac:dyDescent="0.35">
      <c r="A109" s="146" t="s">
        <v>91</v>
      </c>
      <c r="B109" s="147"/>
      <c r="C109" s="148"/>
      <c r="D109" s="12">
        <f>D103+D108</f>
        <v>4.6800000000000006</v>
      </c>
    </row>
    <row r="110" spans="1:4" s="283" customFormat="1" ht="26.4" x14ac:dyDescent="0.3">
      <c r="A110" s="29" t="str">
        <f>ORÇAMENTO!A42</f>
        <v>4.4</v>
      </c>
      <c r="B110" s="30" t="str">
        <f>ORÇAMENTO!D42</f>
        <v xml:space="preserve">PREPARO COM BETONEIRA E TRANSPORTE MANUAL DE CONCRETO FCK=25 MPA </v>
      </c>
      <c r="C110" s="31" t="str">
        <f>ORÇAMENTO!F42</f>
        <v xml:space="preserve">m3 </v>
      </c>
      <c r="D110" s="32" t="s">
        <v>122</v>
      </c>
    </row>
    <row r="111" spans="1:4" x14ac:dyDescent="0.3">
      <c r="A111" s="9"/>
      <c r="B111" s="153" t="s">
        <v>157</v>
      </c>
      <c r="C111" s="154"/>
      <c r="D111" s="155"/>
    </row>
    <row r="112" spans="1:4" x14ac:dyDescent="0.3">
      <c r="A112" s="9"/>
      <c r="B112" s="15" t="s">
        <v>159</v>
      </c>
      <c r="C112" s="16" t="s">
        <v>40</v>
      </c>
      <c r="D112" s="33">
        <v>3</v>
      </c>
    </row>
    <row r="113" spans="1:4" x14ac:dyDescent="0.3">
      <c r="A113" s="9"/>
      <c r="B113" s="15" t="s">
        <v>158</v>
      </c>
      <c r="C113" s="16" t="s">
        <v>40</v>
      </c>
      <c r="D113" s="28">
        <v>6</v>
      </c>
    </row>
    <row r="114" spans="1:4" x14ac:dyDescent="0.3">
      <c r="A114" s="9"/>
      <c r="B114" s="15" t="s">
        <v>160</v>
      </c>
      <c r="C114" s="16" t="s">
        <v>32</v>
      </c>
      <c r="D114" s="28">
        <f>0.4*0.4*0.45</f>
        <v>7.2000000000000022E-2</v>
      </c>
    </row>
    <row r="115" spans="1:4" x14ac:dyDescent="0.3">
      <c r="A115" s="151" t="s">
        <v>161</v>
      </c>
      <c r="B115" s="152"/>
      <c r="C115" s="152"/>
      <c r="D115" s="34">
        <f>D112*D113*D114</f>
        <v>1.2960000000000005</v>
      </c>
    </row>
    <row r="116" spans="1:4" x14ac:dyDescent="0.3">
      <c r="A116" s="9"/>
      <c r="B116" s="153" t="s">
        <v>153</v>
      </c>
      <c r="C116" s="154"/>
      <c r="D116" s="155"/>
    </row>
    <row r="117" spans="1:4" x14ac:dyDescent="0.3">
      <c r="A117" s="9"/>
      <c r="B117" s="15" t="s">
        <v>159</v>
      </c>
      <c r="C117" s="16" t="s">
        <v>40</v>
      </c>
      <c r="D117" s="28">
        <v>1</v>
      </c>
    </row>
    <row r="118" spans="1:4" x14ac:dyDescent="0.3">
      <c r="A118" s="9"/>
      <c r="B118" s="15" t="s">
        <v>158</v>
      </c>
      <c r="C118" s="16" t="s">
        <v>40</v>
      </c>
      <c r="D118" s="28">
        <v>5</v>
      </c>
    </row>
    <row r="119" spans="1:4" x14ac:dyDescent="0.3">
      <c r="A119" s="9"/>
      <c r="B119" s="15" t="s">
        <v>160</v>
      </c>
      <c r="C119" s="16" t="s">
        <v>32</v>
      </c>
      <c r="D119" s="28">
        <f>0.5*0.6*0.6</f>
        <v>0.18</v>
      </c>
    </row>
    <row r="120" spans="1:4" x14ac:dyDescent="0.3">
      <c r="A120" s="151" t="s">
        <v>161</v>
      </c>
      <c r="B120" s="152"/>
      <c r="C120" s="152"/>
      <c r="D120" s="34">
        <f>D117*D118*D119</f>
        <v>0.89999999999999991</v>
      </c>
    </row>
    <row r="121" spans="1:4" ht="15" thickBot="1" x14ac:dyDescent="0.35">
      <c r="A121" s="146" t="s">
        <v>91</v>
      </c>
      <c r="B121" s="147"/>
      <c r="C121" s="148"/>
      <c r="D121" s="12">
        <f>D115+D120</f>
        <v>2.1960000000000006</v>
      </c>
    </row>
    <row r="122" spans="1:4" s="283" customFormat="1" x14ac:dyDescent="0.3">
      <c r="A122" s="29" t="str">
        <f>ORÇAMENTO!A43</f>
        <v>4.5</v>
      </c>
      <c r="B122" s="30" t="str">
        <f>ORÇAMENTO!D43</f>
        <v xml:space="preserve">LANÇAMENTO/APLICAÇÃO/ADENSAMENTO MANUAL DE CONCRETO - (O.C.) </v>
      </c>
      <c r="C122" s="31" t="str">
        <f>ORÇAMENTO!F43</f>
        <v xml:space="preserve">m3 </v>
      </c>
      <c r="D122" s="32" t="s">
        <v>122</v>
      </c>
    </row>
    <row r="123" spans="1:4" x14ac:dyDescent="0.3">
      <c r="A123" s="9"/>
      <c r="B123" s="153" t="s">
        <v>157</v>
      </c>
      <c r="C123" s="154"/>
      <c r="D123" s="155"/>
    </row>
    <row r="124" spans="1:4" x14ac:dyDescent="0.3">
      <c r="A124" s="9"/>
      <c r="B124" s="15" t="s">
        <v>159</v>
      </c>
      <c r="C124" s="16" t="s">
        <v>40</v>
      </c>
      <c r="D124" s="33">
        <v>3</v>
      </c>
    </row>
    <row r="125" spans="1:4" x14ac:dyDescent="0.3">
      <c r="A125" s="9"/>
      <c r="B125" s="15" t="s">
        <v>158</v>
      </c>
      <c r="C125" s="16" t="s">
        <v>40</v>
      </c>
      <c r="D125" s="28">
        <v>6</v>
      </c>
    </row>
    <row r="126" spans="1:4" x14ac:dyDescent="0.3">
      <c r="A126" s="9"/>
      <c r="B126" s="15" t="s">
        <v>160</v>
      </c>
      <c r="C126" s="16" t="s">
        <v>32</v>
      </c>
      <c r="D126" s="28">
        <f>0.4*0.4*0.45</f>
        <v>7.2000000000000022E-2</v>
      </c>
    </row>
    <row r="127" spans="1:4" x14ac:dyDescent="0.3">
      <c r="A127" s="151" t="s">
        <v>161</v>
      </c>
      <c r="B127" s="152"/>
      <c r="C127" s="152"/>
      <c r="D127" s="34">
        <f>D124*D125*D126</f>
        <v>1.2960000000000005</v>
      </c>
    </row>
    <row r="128" spans="1:4" x14ac:dyDescent="0.3">
      <c r="A128" s="9"/>
      <c r="B128" s="153" t="s">
        <v>153</v>
      </c>
      <c r="C128" s="154"/>
      <c r="D128" s="155"/>
    </row>
    <row r="129" spans="1:4" x14ac:dyDescent="0.3">
      <c r="A129" s="9"/>
      <c r="B129" s="15" t="s">
        <v>159</v>
      </c>
      <c r="C129" s="16" t="s">
        <v>40</v>
      </c>
      <c r="D129" s="28">
        <v>1</v>
      </c>
    </row>
    <row r="130" spans="1:4" x14ac:dyDescent="0.3">
      <c r="A130" s="9"/>
      <c r="B130" s="15" t="s">
        <v>158</v>
      </c>
      <c r="C130" s="16" t="s">
        <v>40</v>
      </c>
      <c r="D130" s="28">
        <v>5</v>
      </c>
    </row>
    <row r="131" spans="1:4" x14ac:dyDescent="0.3">
      <c r="A131" s="9"/>
      <c r="B131" s="15" t="s">
        <v>160</v>
      </c>
      <c r="C131" s="16" t="s">
        <v>32</v>
      </c>
      <c r="D131" s="28">
        <f>0.5*0.6*0.6</f>
        <v>0.18</v>
      </c>
    </row>
    <row r="132" spans="1:4" x14ac:dyDescent="0.3">
      <c r="A132" s="151" t="s">
        <v>161</v>
      </c>
      <c r="B132" s="152"/>
      <c r="C132" s="152"/>
      <c r="D132" s="34">
        <f>D129*D130*D131</f>
        <v>0.89999999999999991</v>
      </c>
    </row>
    <row r="133" spans="1:4" ht="15" thickBot="1" x14ac:dyDescent="0.35">
      <c r="A133" s="146" t="s">
        <v>91</v>
      </c>
      <c r="B133" s="147"/>
      <c r="C133" s="148"/>
      <c r="D133" s="12">
        <f>D127+D132</f>
        <v>2.1960000000000006</v>
      </c>
    </row>
    <row r="134" spans="1:4" s="283" customFormat="1" x14ac:dyDescent="0.3">
      <c r="A134" s="29" t="str">
        <f>ORÇAMENTO!A44</f>
        <v>4.6</v>
      </c>
      <c r="B134" s="30" t="str">
        <f>ORÇAMENTO!D44</f>
        <v xml:space="preserve">ACO CA-50A - 6,3 MM (1/4") - (OBRAS CIVIS) </v>
      </c>
      <c r="C134" s="31" t="str">
        <f>ORÇAMENTO!F44</f>
        <v xml:space="preserve">Kg </v>
      </c>
      <c r="D134" s="32" t="s">
        <v>164</v>
      </c>
    </row>
    <row r="135" spans="1:4" x14ac:dyDescent="0.3">
      <c r="A135" s="26" t="s">
        <v>80</v>
      </c>
      <c r="B135" s="153" t="s">
        <v>153</v>
      </c>
      <c r="C135" s="154"/>
      <c r="D135" s="155"/>
    </row>
    <row r="136" spans="1:4" x14ac:dyDescent="0.3">
      <c r="A136" s="26"/>
      <c r="B136" s="15" t="s">
        <v>159</v>
      </c>
      <c r="C136" s="16" t="s">
        <v>40</v>
      </c>
      <c r="D136" s="28">
        <v>1</v>
      </c>
    </row>
    <row r="137" spans="1:4" x14ac:dyDescent="0.3">
      <c r="A137" s="26"/>
      <c r="B137" s="15" t="s">
        <v>155</v>
      </c>
      <c r="C137" s="16" t="s">
        <v>40</v>
      </c>
      <c r="D137" s="28">
        <v>5</v>
      </c>
    </row>
    <row r="138" spans="1:4" x14ac:dyDescent="0.3">
      <c r="A138" s="36"/>
      <c r="B138" s="15" t="s">
        <v>165</v>
      </c>
      <c r="C138" s="16" t="s">
        <v>163</v>
      </c>
      <c r="D138" s="37">
        <f>5*1.19</f>
        <v>5.9499999999999993</v>
      </c>
    </row>
    <row r="139" spans="1:4" x14ac:dyDescent="0.3">
      <c r="A139" s="149" t="s">
        <v>161</v>
      </c>
      <c r="B139" s="150"/>
      <c r="C139" s="150"/>
      <c r="D139" s="37">
        <f>D138*D137*D136</f>
        <v>29.749999999999996</v>
      </c>
    </row>
    <row r="140" spans="1:4" x14ac:dyDescent="0.3">
      <c r="A140" s="36" t="s">
        <v>81</v>
      </c>
      <c r="B140" s="15" t="s">
        <v>166</v>
      </c>
      <c r="C140" s="16" t="s">
        <v>167</v>
      </c>
      <c r="D140" s="38">
        <v>0.245</v>
      </c>
    </row>
    <row r="141" spans="1:4" ht="15" thickBot="1" x14ac:dyDescent="0.35">
      <c r="A141" s="146" t="s">
        <v>250</v>
      </c>
      <c r="B141" s="147"/>
      <c r="C141" s="148"/>
      <c r="D141" s="12">
        <f>D140*D139</f>
        <v>7.2887499999999994</v>
      </c>
    </row>
    <row r="142" spans="1:4" s="283" customFormat="1" x14ac:dyDescent="0.3">
      <c r="A142" s="29" t="str">
        <f>ORÇAMENTO!A45</f>
        <v>4.7</v>
      </c>
      <c r="B142" s="30" t="str">
        <f>ORÇAMENTO!D45</f>
        <v xml:space="preserve">ACO CA 50-A - 8,0 MM (5/16") - (OBRAS CIVIS) </v>
      </c>
      <c r="C142" s="31" t="str">
        <f>ORÇAMENTO!F45</f>
        <v xml:space="preserve">Kg </v>
      </c>
      <c r="D142" s="32" t="s">
        <v>164</v>
      </c>
    </row>
    <row r="143" spans="1:4" x14ac:dyDescent="0.3">
      <c r="A143" s="26" t="s">
        <v>80</v>
      </c>
      <c r="B143" s="153" t="s">
        <v>153</v>
      </c>
      <c r="C143" s="154"/>
      <c r="D143" s="155"/>
    </row>
    <row r="144" spans="1:4" x14ac:dyDescent="0.3">
      <c r="A144" s="26"/>
      <c r="B144" s="15" t="s">
        <v>159</v>
      </c>
      <c r="C144" s="16" t="s">
        <v>40</v>
      </c>
      <c r="D144" s="28">
        <v>1</v>
      </c>
    </row>
    <row r="145" spans="1:4" x14ac:dyDescent="0.3">
      <c r="A145" s="26"/>
      <c r="B145" s="15" t="s">
        <v>155</v>
      </c>
      <c r="C145" s="16" t="s">
        <v>40</v>
      </c>
      <c r="D145" s="28">
        <v>5</v>
      </c>
    </row>
    <row r="146" spans="1:4" x14ac:dyDescent="0.3">
      <c r="A146" s="36"/>
      <c r="B146" s="15" t="s">
        <v>165</v>
      </c>
      <c r="C146" s="16" t="s">
        <v>163</v>
      </c>
      <c r="D146" s="37">
        <v>4</v>
      </c>
    </row>
    <row r="147" spans="1:4" x14ac:dyDescent="0.3">
      <c r="A147" s="149" t="s">
        <v>161</v>
      </c>
      <c r="B147" s="150"/>
      <c r="C147" s="150"/>
      <c r="D147" s="33">
        <f>D146*D145*D144</f>
        <v>20</v>
      </c>
    </row>
    <row r="148" spans="1:4" x14ac:dyDescent="0.3">
      <c r="A148" s="36" t="s">
        <v>81</v>
      </c>
      <c r="B148" s="15" t="s">
        <v>166</v>
      </c>
      <c r="C148" s="16" t="s">
        <v>167</v>
      </c>
      <c r="D148" s="38">
        <v>0.39500000000000002</v>
      </c>
    </row>
    <row r="149" spans="1:4" ht="15" thickBot="1" x14ac:dyDescent="0.35">
      <c r="A149" s="146" t="s">
        <v>250</v>
      </c>
      <c r="B149" s="147"/>
      <c r="C149" s="148"/>
      <c r="D149" s="12">
        <f>D147*D148</f>
        <v>7.9</v>
      </c>
    </row>
    <row r="150" spans="1:4" s="283" customFormat="1" x14ac:dyDescent="0.3">
      <c r="A150" s="29" t="str">
        <f>ORÇAMENTO!A46</f>
        <v>4.8</v>
      </c>
      <c r="B150" s="30" t="str">
        <f>ORÇAMENTO!D46</f>
        <v xml:space="preserve">AREIA FINA </v>
      </c>
      <c r="C150" s="31" t="str">
        <f>ORÇAMENTO!F46</f>
        <v xml:space="preserve">m3 </v>
      </c>
      <c r="D150" s="32" t="s">
        <v>164</v>
      </c>
    </row>
    <row r="151" spans="1:4" x14ac:dyDescent="0.3">
      <c r="A151" s="26" t="s">
        <v>80</v>
      </c>
      <c r="B151" s="15" t="s">
        <v>375</v>
      </c>
      <c r="C151" s="16"/>
      <c r="D151" s="17"/>
    </row>
    <row r="152" spans="1:4" x14ac:dyDescent="0.3">
      <c r="A152" s="26"/>
      <c r="B152" s="15" t="s">
        <v>373</v>
      </c>
      <c r="C152" s="25" t="s">
        <v>40</v>
      </c>
      <c r="D152" s="26">
        <v>2</v>
      </c>
    </row>
    <row r="153" spans="1:4" x14ac:dyDescent="0.3">
      <c r="A153" s="26"/>
      <c r="B153" s="15" t="s">
        <v>391</v>
      </c>
      <c r="C153" s="25" t="s">
        <v>33</v>
      </c>
      <c r="D153" s="26">
        <f>18*9</f>
        <v>162</v>
      </c>
    </row>
    <row r="154" spans="1:4" x14ac:dyDescent="0.3">
      <c r="A154" s="36"/>
      <c r="B154" s="15" t="s">
        <v>376</v>
      </c>
      <c r="C154" s="25" t="s">
        <v>163</v>
      </c>
      <c r="D154" s="26">
        <v>0.15</v>
      </c>
    </row>
    <row r="155" spans="1:4" ht="15" thickBot="1" x14ac:dyDescent="0.35">
      <c r="A155" s="146" t="s">
        <v>250</v>
      </c>
      <c r="B155" s="147"/>
      <c r="C155" s="148"/>
      <c r="D155" s="12">
        <f>D152*D153*D154</f>
        <v>48.6</v>
      </c>
    </row>
    <row r="156" spans="1:4" ht="15" thickBot="1" x14ac:dyDescent="0.35">
      <c r="A156" s="3">
        <v>5</v>
      </c>
      <c r="B156" s="4" t="s">
        <v>16</v>
      </c>
      <c r="C156" s="5"/>
      <c r="D156" s="5"/>
    </row>
    <row r="157" spans="1:4" ht="15" thickBot="1" x14ac:dyDescent="0.35">
      <c r="A157" s="6" t="s">
        <v>1</v>
      </c>
      <c r="B157" s="6" t="s">
        <v>65</v>
      </c>
      <c r="C157" s="6" t="s">
        <v>66</v>
      </c>
      <c r="D157" s="6" t="s">
        <v>67</v>
      </c>
    </row>
    <row r="158" spans="1:4" s="283" customFormat="1" ht="26.4" x14ac:dyDescent="0.3">
      <c r="A158" s="29" t="str">
        <f>ORÇAMENTO!A50</f>
        <v>5.1</v>
      </c>
      <c r="B158" s="30" t="str">
        <f>ORÇAMENTO!D50</f>
        <v>MURO ARRIMO PADRÃO GOINFRA EM CANALETA SEM REVESTIMENTO-(COM ALTURA ATÉ 2 ,50M)-INCLUSO FUNDAÇÃO</v>
      </c>
      <c r="C158" s="39" t="str">
        <f>ORÇAMENTO!F50</f>
        <v xml:space="preserve">m2 </v>
      </c>
      <c r="D158" s="39" t="s">
        <v>110</v>
      </c>
    </row>
    <row r="159" spans="1:4" x14ac:dyDescent="0.3">
      <c r="A159" s="37"/>
      <c r="B159" s="40" t="s">
        <v>254</v>
      </c>
      <c r="C159" s="37" t="s">
        <v>10</v>
      </c>
      <c r="D159" s="37">
        <f>1.5*27.47/2</f>
        <v>20.602499999999999</v>
      </c>
    </row>
    <row r="160" spans="1:4" x14ac:dyDescent="0.3">
      <c r="A160" s="37"/>
      <c r="B160" s="40" t="s">
        <v>255</v>
      </c>
      <c r="C160" s="37" t="s">
        <v>10</v>
      </c>
      <c r="D160" s="37">
        <f>((1.5+0.5)*60.34)/2+(0.5*4.14/2)</f>
        <v>61.375</v>
      </c>
    </row>
    <row r="161" spans="1:4" ht="15" thickBot="1" x14ac:dyDescent="0.35">
      <c r="A161" s="146" t="s">
        <v>91</v>
      </c>
      <c r="B161" s="147"/>
      <c r="C161" s="148"/>
      <c r="D161" s="12">
        <f>SUM(D159:D160)</f>
        <v>81.977499999999992</v>
      </c>
    </row>
    <row r="162" spans="1:4" s="283" customFormat="1" x14ac:dyDescent="0.3">
      <c r="A162" s="29" t="str">
        <f>ORÇAMENTO!A51</f>
        <v>5.2</v>
      </c>
      <c r="B162" s="30" t="str">
        <f>ORÇAMENTO!D51</f>
        <v xml:space="preserve">FORMA - CH.COMPENSADA 17MM PLAST REAP 7 V. - (OBRAS CIVIS </v>
      </c>
      <c r="C162" s="39" t="str">
        <f>ORÇAMENTO!F51</f>
        <v xml:space="preserve">m2 </v>
      </c>
      <c r="D162" s="39" t="s">
        <v>110</v>
      </c>
    </row>
    <row r="163" spans="1:4" x14ac:dyDescent="0.3">
      <c r="A163" s="36" t="s">
        <v>80</v>
      </c>
      <c r="B163" s="15" t="s">
        <v>153</v>
      </c>
      <c r="C163" s="16"/>
      <c r="D163" s="28"/>
    </row>
    <row r="164" spans="1:4" x14ac:dyDescent="0.3">
      <c r="A164" s="36"/>
      <c r="B164" s="15" t="s">
        <v>257</v>
      </c>
      <c r="C164" s="16" t="s">
        <v>40</v>
      </c>
      <c r="D164" s="28">
        <v>5</v>
      </c>
    </row>
    <row r="165" spans="1:4" x14ac:dyDescent="0.3">
      <c r="A165" s="36"/>
      <c r="B165" s="15" t="s">
        <v>258</v>
      </c>
      <c r="C165" s="16" t="s">
        <v>163</v>
      </c>
      <c r="D165" s="37">
        <f>(0.4+0.4+0.4+0.4)*2.8</f>
        <v>4.4799999999999995</v>
      </c>
    </row>
    <row r="166" spans="1:4" x14ac:dyDescent="0.3">
      <c r="A166" s="149" t="s">
        <v>161</v>
      </c>
      <c r="B166" s="150"/>
      <c r="C166" s="150"/>
      <c r="D166" s="33">
        <f>D165*D164</f>
        <v>22.4</v>
      </c>
    </row>
    <row r="167" spans="1:4" x14ac:dyDescent="0.3">
      <c r="A167" s="163"/>
      <c r="B167" s="164"/>
      <c r="C167" s="164"/>
      <c r="D167" s="165"/>
    </row>
    <row r="168" spans="1:4" ht="15" thickBot="1" x14ac:dyDescent="0.35">
      <c r="A168" s="146" t="s">
        <v>512</v>
      </c>
      <c r="B168" s="147"/>
      <c r="C168" s="148"/>
      <c r="D168" s="12">
        <f>D166</f>
        <v>22.4</v>
      </c>
    </row>
    <row r="169" spans="1:4" s="283" customFormat="1" x14ac:dyDescent="0.3">
      <c r="A169" s="29" t="str">
        <f>ORÇAMENTO!A52</f>
        <v>5.3</v>
      </c>
      <c r="B169" s="30" t="str">
        <f>ORÇAMENTO!D52</f>
        <v xml:space="preserve">FORMA DE TABUA CINTA BALDRAME U=8 VEZES </v>
      </c>
      <c r="C169" s="39" t="str">
        <f>ORÇAMENTO!F67</f>
        <v xml:space="preserve">M </v>
      </c>
      <c r="D169" s="39" t="s">
        <v>110</v>
      </c>
    </row>
    <row r="170" spans="1:4" x14ac:dyDescent="0.3">
      <c r="A170" s="36" t="s">
        <v>80</v>
      </c>
      <c r="B170" s="15" t="s">
        <v>227</v>
      </c>
      <c r="C170" s="16"/>
      <c r="D170" s="28"/>
    </row>
    <row r="171" spans="1:4" x14ac:dyDescent="0.3">
      <c r="A171" s="36"/>
      <c r="B171" s="15" t="s">
        <v>228</v>
      </c>
      <c r="C171" s="16" t="s">
        <v>40</v>
      </c>
      <c r="D171" s="28">
        <v>6</v>
      </c>
    </row>
    <row r="172" spans="1:4" x14ac:dyDescent="0.3">
      <c r="A172" s="36"/>
      <c r="B172" s="15" t="s">
        <v>256</v>
      </c>
      <c r="C172" s="16" t="s">
        <v>163</v>
      </c>
      <c r="D172" s="37">
        <f>0.05*1.3*4</f>
        <v>0.26</v>
      </c>
    </row>
    <row r="173" spans="1:4" x14ac:dyDescent="0.3">
      <c r="A173" s="149" t="s">
        <v>161</v>
      </c>
      <c r="B173" s="150"/>
      <c r="C173" s="150"/>
      <c r="D173" s="33">
        <f>D172*D171</f>
        <v>1.56</v>
      </c>
    </row>
    <row r="174" spans="1:4" x14ac:dyDescent="0.3">
      <c r="A174" s="36" t="s">
        <v>81</v>
      </c>
      <c r="B174" s="15" t="s">
        <v>230</v>
      </c>
      <c r="C174" s="16"/>
      <c r="D174" s="28"/>
    </row>
    <row r="175" spans="1:4" x14ac:dyDescent="0.3">
      <c r="A175" s="36"/>
      <c r="B175" s="15" t="s">
        <v>228</v>
      </c>
      <c r="C175" s="16" t="s">
        <v>40</v>
      </c>
      <c r="D175" s="28">
        <v>3</v>
      </c>
    </row>
    <row r="176" spans="1:4" x14ac:dyDescent="0.3">
      <c r="A176" s="36"/>
      <c r="B176" s="15" t="s">
        <v>229</v>
      </c>
      <c r="C176" s="16" t="s">
        <v>163</v>
      </c>
      <c r="D176" s="37">
        <f>0.728+1.88+0.235</f>
        <v>2.8429999999999995</v>
      </c>
    </row>
    <row r="177" spans="1:4" x14ac:dyDescent="0.3">
      <c r="A177" s="149" t="s">
        <v>161</v>
      </c>
      <c r="B177" s="150"/>
      <c r="C177" s="150"/>
      <c r="D177" s="33">
        <f>D176*D175</f>
        <v>8.5289999999999981</v>
      </c>
    </row>
    <row r="178" spans="1:4" ht="15" thickBot="1" x14ac:dyDescent="0.35">
      <c r="A178" s="146" t="s">
        <v>259</v>
      </c>
      <c r="B178" s="147"/>
      <c r="C178" s="148"/>
      <c r="D178" s="12">
        <f>D173+D177</f>
        <v>10.088999999999999</v>
      </c>
    </row>
    <row r="179" spans="1:4" s="283" customFormat="1" x14ac:dyDescent="0.3">
      <c r="A179" s="29" t="str">
        <f>ORÇAMENTO!A66</f>
        <v>6.5</v>
      </c>
      <c r="B179" s="30" t="str">
        <f>ORÇAMENTO!D66</f>
        <v xml:space="preserve">CAIXA DE PASSAGEM 20X20X25CM FUNDO BRITA SEM TAMPA </v>
      </c>
      <c r="C179" s="39" t="str">
        <f>ORÇAMENTO!F81</f>
        <v>und</v>
      </c>
      <c r="D179" s="39" t="s">
        <v>110</v>
      </c>
    </row>
    <row r="180" spans="1:4" x14ac:dyDescent="0.3">
      <c r="A180" s="23" t="s">
        <v>80</v>
      </c>
      <c r="B180" s="15" t="s">
        <v>383</v>
      </c>
      <c r="C180" s="16"/>
      <c r="D180" s="17"/>
    </row>
    <row r="181" spans="1:4" x14ac:dyDescent="0.3">
      <c r="A181" s="23"/>
      <c r="B181" s="15" t="s">
        <v>373</v>
      </c>
      <c r="C181" s="25" t="s">
        <v>40</v>
      </c>
      <c r="D181" s="26">
        <v>2</v>
      </c>
    </row>
    <row r="182" spans="1:4" x14ac:dyDescent="0.3">
      <c r="A182" s="9"/>
      <c r="B182" s="15" t="s">
        <v>506</v>
      </c>
      <c r="C182" s="25" t="s">
        <v>163</v>
      </c>
      <c r="D182" s="26">
        <f>14*1.1</f>
        <v>15.400000000000002</v>
      </c>
    </row>
    <row r="183" spans="1:4" x14ac:dyDescent="0.3">
      <c r="A183" s="23"/>
      <c r="B183" s="15" t="s">
        <v>372</v>
      </c>
      <c r="C183" s="25" t="s">
        <v>33</v>
      </c>
      <c r="D183" s="26">
        <f>0.25+0.25+0.14+0.14</f>
        <v>0.78</v>
      </c>
    </row>
    <row r="184" spans="1:4" ht="15" thickBot="1" x14ac:dyDescent="0.35">
      <c r="A184" s="146" t="s">
        <v>91</v>
      </c>
      <c r="B184" s="147"/>
      <c r="C184" s="148"/>
      <c r="D184" s="12">
        <f>D183*D182*D181</f>
        <v>24.024000000000004</v>
      </c>
    </row>
    <row r="185" spans="1:4" s="283" customFormat="1" x14ac:dyDescent="0.3">
      <c r="A185" s="29" t="str">
        <f>ORÇAMENTO!A54</f>
        <v>5.5</v>
      </c>
      <c r="B185" s="30" t="str">
        <f>ORÇAMENTO!D54</f>
        <v xml:space="preserve">ACO CA-50-A - 6,3 MM (1/4") - (OBRAS CIVIS) </v>
      </c>
      <c r="C185" s="39" t="str">
        <f>ORÇAMENTO!F54</f>
        <v xml:space="preserve">Kg </v>
      </c>
      <c r="D185" s="37"/>
    </row>
    <row r="186" spans="1:4" x14ac:dyDescent="0.3">
      <c r="A186" s="36" t="s">
        <v>80</v>
      </c>
      <c r="B186" s="15" t="s">
        <v>230</v>
      </c>
      <c r="C186" s="16"/>
      <c r="D186" s="28"/>
    </row>
    <row r="187" spans="1:4" x14ac:dyDescent="0.3">
      <c r="A187" s="36"/>
      <c r="B187" s="15" t="s">
        <v>228</v>
      </c>
      <c r="C187" s="16" t="s">
        <v>40</v>
      </c>
      <c r="D187" s="28">
        <v>3</v>
      </c>
    </row>
    <row r="188" spans="1:4" x14ac:dyDescent="0.3">
      <c r="A188" s="36"/>
      <c r="B188" s="15" t="s">
        <v>229</v>
      </c>
      <c r="C188" s="16" t="s">
        <v>163</v>
      </c>
      <c r="D188" s="37">
        <v>49.98</v>
      </c>
    </row>
    <row r="189" spans="1:4" x14ac:dyDescent="0.3">
      <c r="A189" s="149" t="s">
        <v>161</v>
      </c>
      <c r="B189" s="150"/>
      <c r="C189" s="150"/>
      <c r="D189" s="33">
        <f>D188*D187</f>
        <v>149.94</v>
      </c>
    </row>
    <row r="190" spans="1:4" x14ac:dyDescent="0.3">
      <c r="A190" s="36" t="s">
        <v>81</v>
      </c>
      <c r="B190" s="15" t="s">
        <v>153</v>
      </c>
      <c r="C190" s="16"/>
      <c r="D190" s="28"/>
    </row>
    <row r="191" spans="1:4" x14ac:dyDescent="0.3">
      <c r="A191" s="36"/>
      <c r="B191" s="15" t="s">
        <v>257</v>
      </c>
      <c r="C191" s="16" t="s">
        <v>40</v>
      </c>
      <c r="D191" s="28">
        <v>5</v>
      </c>
    </row>
    <row r="192" spans="1:4" x14ac:dyDescent="0.3">
      <c r="A192" s="36"/>
      <c r="B192" s="15" t="s">
        <v>266</v>
      </c>
      <c r="C192" s="16" t="s">
        <v>163</v>
      </c>
      <c r="D192" s="37">
        <f>14*0.8</f>
        <v>11.200000000000001</v>
      </c>
    </row>
    <row r="193" spans="1:4" x14ac:dyDescent="0.3">
      <c r="A193" s="149" t="s">
        <v>161</v>
      </c>
      <c r="B193" s="150"/>
      <c r="C193" s="150"/>
      <c r="D193" s="33">
        <f>D192*D191</f>
        <v>56.000000000000007</v>
      </c>
    </row>
    <row r="194" spans="1:4" x14ac:dyDescent="0.3">
      <c r="A194" s="36" t="s">
        <v>82</v>
      </c>
      <c r="B194" s="15" t="s">
        <v>375</v>
      </c>
      <c r="C194" s="16"/>
      <c r="D194" s="28"/>
    </row>
    <row r="195" spans="1:4" x14ac:dyDescent="0.3">
      <c r="A195" s="36"/>
      <c r="B195" s="15" t="s">
        <v>373</v>
      </c>
      <c r="C195" s="16" t="s">
        <v>40</v>
      </c>
      <c r="D195" s="28">
        <v>2</v>
      </c>
    </row>
    <row r="196" spans="1:4" x14ac:dyDescent="0.3">
      <c r="A196" s="36"/>
      <c r="B196" s="15" t="s">
        <v>385</v>
      </c>
      <c r="C196" s="16" t="s">
        <v>163</v>
      </c>
      <c r="D196" s="37">
        <f>250*0.66</f>
        <v>165</v>
      </c>
    </row>
    <row r="197" spans="1:4" x14ac:dyDescent="0.3">
      <c r="A197" s="9"/>
      <c r="B197" s="15" t="s">
        <v>384</v>
      </c>
      <c r="C197" s="25" t="s">
        <v>163</v>
      </c>
      <c r="D197" s="26">
        <f>14*6*0.66</f>
        <v>55.440000000000005</v>
      </c>
    </row>
    <row r="198" spans="1:4" x14ac:dyDescent="0.3">
      <c r="A198" s="149" t="s">
        <v>161</v>
      </c>
      <c r="B198" s="150"/>
      <c r="C198" s="150"/>
      <c r="D198" s="33">
        <f>D196*D195+D197*D195</f>
        <v>440.88</v>
      </c>
    </row>
    <row r="199" spans="1:4" x14ac:dyDescent="0.3">
      <c r="A199" s="36" t="s">
        <v>231</v>
      </c>
      <c r="B199" s="15" t="s">
        <v>166</v>
      </c>
      <c r="C199" s="16" t="s">
        <v>167</v>
      </c>
      <c r="D199" s="38">
        <v>0.245</v>
      </c>
    </row>
    <row r="200" spans="1:4" ht="15" thickBot="1" x14ac:dyDescent="0.35">
      <c r="A200" s="146" t="s">
        <v>232</v>
      </c>
      <c r="B200" s="147"/>
      <c r="C200" s="148"/>
      <c r="D200" s="12">
        <f>(D189+D193+D198)*D199</f>
        <v>158.47089999999997</v>
      </c>
    </row>
    <row r="201" spans="1:4" s="283" customFormat="1" x14ac:dyDescent="0.3">
      <c r="A201" s="29" t="str">
        <f>ORÇAMENTO!A55</f>
        <v>5.6</v>
      </c>
      <c r="B201" s="30" t="str">
        <f>ORÇAMENTO!D55</f>
        <v xml:space="preserve">ACO CA-50 A - 8,0 MM (5/16") - (OBRAS CIVIS) </v>
      </c>
      <c r="C201" s="39" t="str">
        <f>ORÇAMENTO!F55</f>
        <v xml:space="preserve">Kg </v>
      </c>
      <c r="D201" s="37"/>
    </row>
    <row r="202" spans="1:4" x14ac:dyDescent="0.3">
      <c r="A202" s="36" t="s">
        <v>80</v>
      </c>
      <c r="B202" s="15" t="s">
        <v>227</v>
      </c>
      <c r="C202" s="16"/>
      <c r="D202" s="28"/>
    </row>
    <row r="203" spans="1:4" x14ac:dyDescent="0.3">
      <c r="A203" s="36"/>
      <c r="B203" s="15" t="s">
        <v>228</v>
      </c>
      <c r="C203" s="16" t="s">
        <v>40</v>
      </c>
      <c r="D203" s="28">
        <v>6</v>
      </c>
    </row>
    <row r="204" spans="1:4" x14ac:dyDescent="0.3">
      <c r="A204" s="36"/>
      <c r="B204" s="15" t="s">
        <v>229</v>
      </c>
      <c r="C204" s="16" t="s">
        <v>163</v>
      </c>
      <c r="D204" s="37">
        <v>9.2799999999999994</v>
      </c>
    </row>
    <row r="205" spans="1:4" x14ac:dyDescent="0.3">
      <c r="A205" s="149" t="s">
        <v>161</v>
      </c>
      <c r="B205" s="150"/>
      <c r="C205" s="150"/>
      <c r="D205" s="33">
        <f>D204*D203</f>
        <v>55.679999999999993</v>
      </c>
    </row>
    <row r="206" spans="1:4" x14ac:dyDescent="0.3">
      <c r="A206" s="36" t="s">
        <v>81</v>
      </c>
      <c r="B206" s="15" t="s">
        <v>230</v>
      </c>
      <c r="C206" s="16"/>
      <c r="D206" s="28"/>
    </row>
    <row r="207" spans="1:4" x14ac:dyDescent="0.3">
      <c r="A207" s="36"/>
      <c r="B207" s="15" t="s">
        <v>228</v>
      </c>
      <c r="C207" s="16" t="s">
        <v>40</v>
      </c>
      <c r="D207" s="28">
        <v>3</v>
      </c>
    </row>
    <row r="208" spans="1:4" x14ac:dyDescent="0.3">
      <c r="A208" s="36"/>
      <c r="B208" s="15" t="s">
        <v>229</v>
      </c>
      <c r="C208" s="16" t="s">
        <v>163</v>
      </c>
      <c r="D208" s="37">
        <f>18.56+6.96</f>
        <v>25.52</v>
      </c>
    </row>
    <row r="209" spans="1:4" x14ac:dyDescent="0.3">
      <c r="A209" s="149" t="s">
        <v>161</v>
      </c>
      <c r="B209" s="150"/>
      <c r="C209" s="150"/>
      <c r="D209" s="33">
        <f>D208*D207</f>
        <v>76.56</v>
      </c>
    </row>
    <row r="210" spans="1:4" x14ac:dyDescent="0.3">
      <c r="A210" s="36" t="s">
        <v>82</v>
      </c>
      <c r="B210" s="15" t="s">
        <v>153</v>
      </c>
      <c r="C210" s="16"/>
      <c r="D210" s="28"/>
    </row>
    <row r="211" spans="1:4" x14ac:dyDescent="0.3">
      <c r="A211" s="36"/>
      <c r="B211" s="15" t="s">
        <v>257</v>
      </c>
      <c r="C211" s="16" t="s">
        <v>40</v>
      </c>
      <c r="D211" s="28">
        <v>5</v>
      </c>
    </row>
    <row r="212" spans="1:4" x14ac:dyDescent="0.3">
      <c r="A212" s="36"/>
      <c r="B212" s="15" t="s">
        <v>266</v>
      </c>
      <c r="C212" s="16" t="s">
        <v>163</v>
      </c>
      <c r="D212" s="37">
        <f>2.75*4</f>
        <v>11</v>
      </c>
    </row>
    <row r="213" spans="1:4" x14ac:dyDescent="0.3">
      <c r="A213" s="149" t="s">
        <v>161</v>
      </c>
      <c r="B213" s="150"/>
      <c r="C213" s="150"/>
      <c r="D213" s="33">
        <f>D212*D211</f>
        <v>55</v>
      </c>
    </row>
    <row r="214" spans="1:4" x14ac:dyDescent="0.3">
      <c r="A214" s="36" t="s">
        <v>231</v>
      </c>
      <c r="B214" s="15" t="s">
        <v>375</v>
      </c>
      <c r="C214" s="16"/>
      <c r="D214" s="28"/>
    </row>
    <row r="215" spans="1:4" x14ac:dyDescent="0.3">
      <c r="A215" s="36"/>
      <c r="B215" s="15" t="s">
        <v>373</v>
      </c>
      <c r="C215" s="16" t="s">
        <v>40</v>
      </c>
      <c r="D215" s="28">
        <v>2</v>
      </c>
    </row>
    <row r="216" spans="1:4" x14ac:dyDescent="0.3">
      <c r="A216" s="36"/>
      <c r="B216" s="15" t="s">
        <v>380</v>
      </c>
      <c r="C216" s="16" t="s">
        <v>163</v>
      </c>
      <c r="D216" s="37">
        <f>49.94*4</f>
        <v>199.76</v>
      </c>
    </row>
    <row r="217" spans="1:4" x14ac:dyDescent="0.3">
      <c r="A217" s="9"/>
      <c r="B217" s="15" t="s">
        <v>384</v>
      </c>
      <c r="C217" s="25" t="s">
        <v>163</v>
      </c>
      <c r="D217" s="26">
        <f>14*4*1.1</f>
        <v>61.600000000000009</v>
      </c>
    </row>
    <row r="218" spans="1:4" x14ac:dyDescent="0.3">
      <c r="A218" s="149" t="s">
        <v>161</v>
      </c>
      <c r="B218" s="150"/>
      <c r="C218" s="150"/>
      <c r="D218" s="33">
        <f>D216*D215+D217*D215</f>
        <v>522.72</v>
      </c>
    </row>
    <row r="219" spans="1:4" x14ac:dyDescent="0.3">
      <c r="A219" s="36" t="s">
        <v>381</v>
      </c>
      <c r="B219" s="15" t="s">
        <v>166</v>
      </c>
      <c r="C219" s="16" t="s">
        <v>167</v>
      </c>
      <c r="D219" s="38">
        <v>0.39500000000000002</v>
      </c>
    </row>
    <row r="220" spans="1:4" ht="15" thickBot="1" x14ac:dyDescent="0.35">
      <c r="A220" s="146" t="s">
        <v>382</v>
      </c>
      <c r="B220" s="147"/>
      <c r="C220" s="148"/>
      <c r="D220" s="12">
        <f>(D209+D205+D213+D218)*D219</f>
        <v>280.43420000000003</v>
      </c>
    </row>
    <row r="221" spans="1:4" s="283" customFormat="1" ht="13.5" customHeight="1" x14ac:dyDescent="0.3">
      <c r="A221" s="29" t="str">
        <f>ORÇAMENTO!A56</f>
        <v>5.7</v>
      </c>
      <c r="B221" s="30" t="str">
        <f>ORÇAMENTO!D56</f>
        <v xml:space="preserve">PREPARO COM BETONEIRA E TRANSPORTE MANUAL DE CONCRETO FCK=25 MPA </v>
      </c>
      <c r="C221" s="39" t="str">
        <f>ORÇAMENTO!F56</f>
        <v xml:space="preserve">m3 </v>
      </c>
      <c r="D221" s="39" t="s">
        <v>122</v>
      </c>
    </row>
    <row r="222" spans="1:4" x14ac:dyDescent="0.3">
      <c r="A222" s="36" t="s">
        <v>80</v>
      </c>
      <c r="B222" s="15" t="s">
        <v>227</v>
      </c>
      <c r="C222" s="16"/>
      <c r="D222" s="28"/>
    </row>
    <row r="223" spans="1:4" x14ac:dyDescent="0.3">
      <c r="A223" s="36"/>
      <c r="B223" s="15" t="s">
        <v>228</v>
      </c>
      <c r="C223" s="16" t="s">
        <v>40</v>
      </c>
      <c r="D223" s="28">
        <v>6</v>
      </c>
    </row>
    <row r="224" spans="1:4" x14ac:dyDescent="0.3">
      <c r="A224" s="36"/>
      <c r="B224" s="15" t="s">
        <v>264</v>
      </c>
      <c r="C224" s="16" t="s">
        <v>32</v>
      </c>
      <c r="D224" s="37">
        <f>0.05*1.3*1.3+0.0568*D321</f>
        <v>0.13457488000000001</v>
      </c>
    </row>
    <row r="225" spans="1:4" x14ac:dyDescent="0.3">
      <c r="A225" s="149" t="s">
        <v>161</v>
      </c>
      <c r="B225" s="150"/>
      <c r="C225" s="150"/>
      <c r="D225" s="33">
        <f>D224*D223</f>
        <v>0.80744928000000005</v>
      </c>
    </row>
    <row r="226" spans="1:4" x14ac:dyDescent="0.3">
      <c r="A226" s="36" t="s">
        <v>81</v>
      </c>
      <c r="B226" s="15" t="s">
        <v>230</v>
      </c>
      <c r="C226" s="16"/>
      <c r="D226" s="28"/>
    </row>
    <row r="227" spans="1:4" x14ac:dyDescent="0.3">
      <c r="A227" s="36"/>
      <c r="B227" s="15" t="s">
        <v>228</v>
      </c>
      <c r="C227" s="16" t="s">
        <v>40</v>
      </c>
      <c r="D227" s="28">
        <v>3</v>
      </c>
    </row>
    <row r="228" spans="1:4" x14ac:dyDescent="0.3">
      <c r="A228" s="36"/>
      <c r="B228" s="15" t="s">
        <v>264</v>
      </c>
      <c r="C228" s="16" t="s">
        <v>32</v>
      </c>
      <c r="D228" s="37">
        <v>0.43</v>
      </c>
    </row>
    <row r="229" spans="1:4" x14ac:dyDescent="0.3">
      <c r="A229" s="149" t="s">
        <v>161</v>
      </c>
      <c r="B229" s="150"/>
      <c r="C229" s="150"/>
      <c r="D229" s="33">
        <f>D228*D227</f>
        <v>1.29</v>
      </c>
    </row>
    <row r="230" spans="1:4" x14ac:dyDescent="0.3">
      <c r="A230" s="36" t="s">
        <v>82</v>
      </c>
      <c r="B230" s="15" t="s">
        <v>153</v>
      </c>
      <c r="C230" s="16"/>
      <c r="D230" s="28"/>
    </row>
    <row r="231" spans="1:4" x14ac:dyDescent="0.3">
      <c r="A231" s="36"/>
      <c r="B231" s="15" t="s">
        <v>257</v>
      </c>
      <c r="C231" s="16" t="s">
        <v>40</v>
      </c>
      <c r="D231" s="28">
        <v>5</v>
      </c>
    </row>
    <row r="232" spans="1:4" x14ac:dyDescent="0.3">
      <c r="A232" s="36"/>
      <c r="B232" s="15" t="s">
        <v>265</v>
      </c>
      <c r="C232" s="16" t="s">
        <v>32</v>
      </c>
      <c r="D232" s="37">
        <f>(0.4*0.4*2.8)</f>
        <v>0.44800000000000006</v>
      </c>
    </row>
    <row r="233" spans="1:4" x14ac:dyDescent="0.3">
      <c r="A233" s="149" t="s">
        <v>161</v>
      </c>
      <c r="B233" s="150"/>
      <c r="C233" s="150"/>
      <c r="D233" s="33">
        <f>D232*D231</f>
        <v>2.2400000000000002</v>
      </c>
    </row>
    <row r="234" spans="1:4" x14ac:dyDescent="0.3">
      <c r="A234" s="36" t="s">
        <v>231</v>
      </c>
      <c r="B234" s="15" t="s">
        <v>375</v>
      </c>
      <c r="C234" s="16"/>
      <c r="D234" s="28"/>
    </row>
    <row r="235" spans="1:4" x14ac:dyDescent="0.3">
      <c r="A235" s="36"/>
      <c r="B235" s="15" t="s">
        <v>373</v>
      </c>
      <c r="C235" s="16" t="s">
        <v>40</v>
      </c>
      <c r="D235" s="28">
        <v>2</v>
      </c>
    </row>
    <row r="236" spans="1:4" x14ac:dyDescent="0.3">
      <c r="A236" s="36"/>
      <c r="B236" s="15" t="s">
        <v>387</v>
      </c>
      <c r="C236" s="16" t="s">
        <v>163</v>
      </c>
      <c r="D236" s="37">
        <f>49.94*0.25*0.14</f>
        <v>1.7479</v>
      </c>
    </row>
    <row r="237" spans="1:4" x14ac:dyDescent="0.3">
      <c r="A237" s="9"/>
      <c r="B237" s="15" t="s">
        <v>388</v>
      </c>
      <c r="C237" s="25" t="s">
        <v>163</v>
      </c>
      <c r="D237" s="26">
        <f>14*1.1*0.14*0.25</f>
        <v>0.53900000000000015</v>
      </c>
    </row>
    <row r="238" spans="1:4" x14ac:dyDescent="0.3">
      <c r="A238" s="149" t="s">
        <v>161</v>
      </c>
      <c r="B238" s="150"/>
      <c r="C238" s="150"/>
      <c r="D238" s="33">
        <f>D236*D235+D237*D235</f>
        <v>4.5738000000000003</v>
      </c>
    </row>
    <row r="239" spans="1:4" x14ac:dyDescent="0.3">
      <c r="A239" s="36" t="s">
        <v>381</v>
      </c>
      <c r="B239" s="15" t="s">
        <v>508</v>
      </c>
      <c r="C239" s="16"/>
      <c r="D239" s="37"/>
    </row>
    <row r="240" spans="1:4" x14ac:dyDescent="0.3">
      <c r="A240" s="36"/>
      <c r="B240" s="15" t="s">
        <v>509</v>
      </c>
      <c r="C240" s="16"/>
      <c r="D240" s="37">
        <v>0.4</v>
      </c>
    </row>
    <row r="241" spans="1:4" x14ac:dyDescent="0.3">
      <c r="A241" s="36"/>
      <c r="B241" s="15" t="s">
        <v>110</v>
      </c>
      <c r="C241" s="16"/>
      <c r="D241" s="37">
        <f>(5.97*0.22)</f>
        <v>1.3133999999999999</v>
      </c>
    </row>
    <row r="242" spans="1:4" x14ac:dyDescent="0.3">
      <c r="A242" s="149" t="s">
        <v>161</v>
      </c>
      <c r="B242" s="150"/>
      <c r="C242" s="150"/>
      <c r="D242" s="33">
        <f>D240*D241</f>
        <v>0.52535999999999994</v>
      </c>
    </row>
    <row r="243" spans="1:4" ht="15" customHeight="1" thickBot="1" x14ac:dyDescent="0.35">
      <c r="A243" s="146" t="s">
        <v>91</v>
      </c>
      <c r="B243" s="147"/>
      <c r="C243" s="148"/>
      <c r="D243" s="12">
        <f>D230+D231+D232+D238+D242</f>
        <v>10.54716</v>
      </c>
    </row>
    <row r="244" spans="1:4" x14ac:dyDescent="0.3">
      <c r="A244" s="124"/>
      <c r="B244" s="125"/>
      <c r="C244" s="125"/>
      <c r="D244" s="126"/>
    </row>
    <row r="245" spans="1:4" ht="15" thickBot="1" x14ac:dyDescent="0.35">
      <c r="A245" s="146" t="s">
        <v>386</v>
      </c>
      <c r="B245" s="147"/>
      <c r="C245" s="148"/>
      <c r="D245" s="12">
        <f>D233+D229+D225+D238</f>
        <v>8.9112492799999998</v>
      </c>
    </row>
    <row r="246" spans="1:4" s="283" customFormat="1" ht="13.5" customHeight="1" x14ac:dyDescent="0.3">
      <c r="A246" s="29" t="str">
        <f>ORÇAMENTO!A57</f>
        <v>5.8</v>
      </c>
      <c r="B246" s="30" t="str">
        <f>ORÇAMENTO!D57</f>
        <v xml:space="preserve">LANÇAMENTO/APLICAÇÃO/ADENSAMENTO MANUAL DE CONCRETO - (OBRAS CIVIS) </v>
      </c>
      <c r="C246" s="39" t="str">
        <f>ORÇAMENTO!F57</f>
        <v xml:space="preserve">m3 </v>
      </c>
      <c r="D246" s="37"/>
    </row>
    <row r="247" spans="1:4" x14ac:dyDescent="0.3">
      <c r="A247" s="36" t="s">
        <v>80</v>
      </c>
      <c r="B247" s="15" t="s">
        <v>227</v>
      </c>
      <c r="C247" s="16"/>
      <c r="D247" s="28"/>
    </row>
    <row r="248" spans="1:4" x14ac:dyDescent="0.3">
      <c r="A248" s="36"/>
      <c r="B248" s="15" t="s">
        <v>228</v>
      </c>
      <c r="C248" s="16" t="s">
        <v>40</v>
      </c>
      <c r="D248" s="28">
        <v>6</v>
      </c>
    </row>
    <row r="249" spans="1:4" x14ac:dyDescent="0.3">
      <c r="A249" s="36"/>
      <c r="B249" s="15" t="s">
        <v>264</v>
      </c>
      <c r="C249" s="16" t="s">
        <v>32</v>
      </c>
      <c r="D249" s="37">
        <f>0.05*1.3*1.3</f>
        <v>8.4500000000000006E-2</v>
      </c>
    </row>
    <row r="250" spans="1:4" x14ac:dyDescent="0.3">
      <c r="A250" s="149" t="s">
        <v>161</v>
      </c>
      <c r="B250" s="150"/>
      <c r="C250" s="150"/>
      <c r="D250" s="33">
        <f>D249*D248</f>
        <v>0.50700000000000001</v>
      </c>
    </row>
    <row r="251" spans="1:4" x14ac:dyDescent="0.3">
      <c r="A251" s="36" t="s">
        <v>81</v>
      </c>
      <c r="B251" s="15" t="s">
        <v>230</v>
      </c>
      <c r="C251" s="16"/>
      <c r="D251" s="28"/>
    </row>
    <row r="252" spans="1:4" x14ac:dyDescent="0.3">
      <c r="A252" s="36"/>
      <c r="B252" s="15" t="s">
        <v>228</v>
      </c>
      <c r="C252" s="16" t="s">
        <v>40</v>
      </c>
      <c r="D252" s="28">
        <v>3</v>
      </c>
    </row>
    <row r="253" spans="1:4" x14ac:dyDescent="0.3">
      <c r="A253" s="36"/>
      <c r="B253" s="15" t="s">
        <v>264</v>
      </c>
      <c r="C253" s="16" t="s">
        <v>32</v>
      </c>
      <c r="D253" s="37">
        <v>0.43</v>
      </c>
    </row>
    <row r="254" spans="1:4" x14ac:dyDescent="0.3">
      <c r="A254" s="149" t="s">
        <v>161</v>
      </c>
      <c r="B254" s="150"/>
      <c r="C254" s="150"/>
      <c r="D254" s="33">
        <f>D253*D252</f>
        <v>1.29</v>
      </c>
    </row>
    <row r="255" spans="1:4" x14ac:dyDescent="0.3">
      <c r="A255" s="36" t="s">
        <v>82</v>
      </c>
      <c r="B255" s="15" t="s">
        <v>153</v>
      </c>
      <c r="C255" s="16"/>
      <c r="D255" s="28"/>
    </row>
    <row r="256" spans="1:4" x14ac:dyDescent="0.3">
      <c r="A256" s="36"/>
      <c r="B256" s="15" t="s">
        <v>257</v>
      </c>
      <c r="C256" s="16" t="s">
        <v>40</v>
      </c>
      <c r="D256" s="28">
        <v>5</v>
      </c>
    </row>
    <row r="257" spans="1:4" x14ac:dyDescent="0.3">
      <c r="A257" s="36"/>
      <c r="B257" s="15" t="s">
        <v>265</v>
      </c>
      <c r="C257" s="16" t="s">
        <v>32</v>
      </c>
      <c r="D257" s="37">
        <f>(0.4*0.4*2.8)</f>
        <v>0.44800000000000006</v>
      </c>
    </row>
    <row r="258" spans="1:4" x14ac:dyDescent="0.3">
      <c r="A258" s="149" t="s">
        <v>161</v>
      </c>
      <c r="B258" s="150"/>
      <c r="C258" s="150"/>
      <c r="D258" s="33">
        <f>D257*D256</f>
        <v>2.2400000000000002</v>
      </c>
    </row>
    <row r="259" spans="1:4" x14ac:dyDescent="0.3">
      <c r="A259" s="36" t="s">
        <v>231</v>
      </c>
      <c r="B259" s="15" t="s">
        <v>375</v>
      </c>
      <c r="C259" s="16"/>
      <c r="D259" s="28"/>
    </row>
    <row r="260" spans="1:4" x14ac:dyDescent="0.3">
      <c r="A260" s="36"/>
      <c r="B260" s="15" t="s">
        <v>373</v>
      </c>
      <c r="C260" s="16" t="s">
        <v>40</v>
      </c>
      <c r="D260" s="28">
        <v>2</v>
      </c>
    </row>
    <row r="261" spans="1:4" x14ac:dyDescent="0.3">
      <c r="A261" s="36"/>
      <c r="B261" s="15" t="s">
        <v>387</v>
      </c>
      <c r="C261" s="16" t="s">
        <v>163</v>
      </c>
      <c r="D261" s="37">
        <f>49.94*0.25*0.14</f>
        <v>1.7479</v>
      </c>
    </row>
    <row r="262" spans="1:4" x14ac:dyDescent="0.3">
      <c r="A262" s="9"/>
      <c r="B262" s="15" t="s">
        <v>388</v>
      </c>
      <c r="C262" s="25" t="s">
        <v>163</v>
      </c>
      <c r="D262" s="26">
        <f>14*1.1*0.14*0.25</f>
        <v>0.53900000000000015</v>
      </c>
    </row>
    <row r="263" spans="1:4" x14ac:dyDescent="0.3">
      <c r="A263" s="149" t="s">
        <v>161</v>
      </c>
      <c r="B263" s="150"/>
      <c r="C263" s="150"/>
      <c r="D263" s="33">
        <f>D261*D260+D262*D260</f>
        <v>4.5738000000000003</v>
      </c>
    </row>
    <row r="264" spans="1:4" x14ac:dyDescent="0.3">
      <c r="A264" s="36" t="s">
        <v>381</v>
      </c>
      <c r="B264" s="15" t="s">
        <v>508</v>
      </c>
      <c r="C264" s="16"/>
      <c r="D264" s="37"/>
    </row>
    <row r="265" spans="1:4" x14ac:dyDescent="0.3">
      <c r="A265" s="36"/>
      <c r="B265" s="15" t="s">
        <v>509</v>
      </c>
      <c r="C265" s="16"/>
      <c r="D265" s="37">
        <v>0.4</v>
      </c>
    </row>
    <row r="266" spans="1:4" x14ac:dyDescent="0.3">
      <c r="A266" s="36"/>
      <c r="B266" s="15" t="s">
        <v>110</v>
      </c>
      <c r="C266" s="16"/>
      <c r="D266" s="37">
        <f>(5.97*0.22)</f>
        <v>1.3133999999999999</v>
      </c>
    </row>
    <row r="267" spans="1:4" x14ac:dyDescent="0.3">
      <c r="A267" s="149" t="s">
        <v>161</v>
      </c>
      <c r="B267" s="150"/>
      <c r="C267" s="150"/>
      <c r="D267" s="33">
        <f>D265*D266</f>
        <v>0.52535999999999994</v>
      </c>
    </row>
    <row r="268" spans="1:4" ht="15" thickBot="1" x14ac:dyDescent="0.35">
      <c r="A268" s="146" t="s">
        <v>386</v>
      </c>
      <c r="B268" s="147"/>
      <c r="C268" s="148"/>
      <c r="D268" s="12">
        <f>D258+D254+D250+D263+D267</f>
        <v>9.1361600000000003</v>
      </c>
    </row>
    <row r="269" spans="1:4" s="283" customFormat="1" ht="26.4" x14ac:dyDescent="0.3">
      <c r="A269" s="29" t="str">
        <f>ORÇAMENTO!A58</f>
        <v>5.9</v>
      </c>
      <c r="B269" s="30" t="str">
        <f>ORÇAMENTO!D58</f>
        <v>TELA DE ACO SOLDADA NERVURADA, CA-60, Q-196, (3,11 KG/M2), DIAMETRO DO FIO = 5,0 MM, LARGURA = 2,45 M, ESPACAMENTO DA MALHA = 10 X 10 CM</v>
      </c>
      <c r="C269" s="39" t="str">
        <f>ORÇAMENTO!F58</f>
        <v xml:space="preserve">M2 </v>
      </c>
      <c r="D269" s="37"/>
    </row>
    <row r="270" spans="1:4" x14ac:dyDescent="0.3">
      <c r="A270" s="36" t="s">
        <v>80</v>
      </c>
      <c r="B270" s="15" t="s">
        <v>227</v>
      </c>
      <c r="C270" s="16"/>
      <c r="D270" s="28"/>
    </row>
    <row r="271" spans="1:4" x14ac:dyDescent="0.3">
      <c r="A271" s="36"/>
      <c r="B271" s="15" t="s">
        <v>228</v>
      </c>
      <c r="C271" s="16" t="s">
        <v>40</v>
      </c>
      <c r="D271" s="28">
        <v>6</v>
      </c>
    </row>
    <row r="272" spans="1:4" x14ac:dyDescent="0.3">
      <c r="A272" s="36"/>
      <c r="B272" s="15" t="s">
        <v>253</v>
      </c>
      <c r="C272" s="16" t="s">
        <v>163</v>
      </c>
      <c r="D272" s="37">
        <f>1.3*1.3</f>
        <v>1.6900000000000002</v>
      </c>
    </row>
    <row r="273" spans="1:4" x14ac:dyDescent="0.3">
      <c r="A273" s="149" t="s">
        <v>161</v>
      </c>
      <c r="B273" s="150"/>
      <c r="C273" s="150"/>
      <c r="D273" s="33">
        <f>D272*D271</f>
        <v>10.14</v>
      </c>
    </row>
    <row r="274" spans="1:4" ht="15" thickBot="1" x14ac:dyDescent="0.35">
      <c r="A274" s="146" t="s">
        <v>91</v>
      </c>
      <c r="B274" s="147"/>
      <c r="C274" s="148"/>
      <c r="D274" s="12">
        <f>D273</f>
        <v>10.14</v>
      </c>
    </row>
    <row r="275" spans="1:4" ht="15" thickBot="1" x14ac:dyDescent="0.35">
      <c r="A275" s="3">
        <v>6</v>
      </c>
      <c r="B275" s="41" t="s">
        <v>76</v>
      </c>
      <c r="C275" s="5"/>
      <c r="D275" s="5"/>
    </row>
    <row r="276" spans="1:4" ht="15" thickBot="1" x14ac:dyDescent="0.35">
      <c r="A276" s="6" t="s">
        <v>1</v>
      </c>
      <c r="B276" s="6" t="s">
        <v>65</v>
      </c>
      <c r="C276" s="6" t="s">
        <v>66</v>
      </c>
      <c r="D276" s="6" t="s">
        <v>67</v>
      </c>
    </row>
    <row r="277" spans="1:4" x14ac:dyDescent="0.3">
      <c r="A277" s="9" t="str">
        <f>ORÇAMENTO!A62</f>
        <v>6.1</v>
      </c>
      <c r="B277" s="15" t="str">
        <f>ORÇAMENTO!D62</f>
        <v xml:space="preserve">CABO EPR/XLPE (90°C) 1KV - 10MM2 </v>
      </c>
      <c r="C277" s="11" t="str">
        <f>ORÇAMENTO!F62</f>
        <v xml:space="preserve">M </v>
      </c>
      <c r="D277" s="37">
        <f>2*1.4+2*13.46+2*21.31+2*18.07+2*14.89+2*19.74+2*20.77+2*20.33+2*19.39+2*13.54+2*18.56+12.81*2+16.21*2</f>
        <v>420.95999999999992</v>
      </c>
    </row>
    <row r="278" spans="1:4" x14ac:dyDescent="0.3">
      <c r="A278" s="9" t="str">
        <f>ORÇAMENTO!A63</f>
        <v>6.2</v>
      </c>
      <c r="B278" s="15" t="str">
        <f>ORÇAMENTO!D63</f>
        <v xml:space="preserve">CABO EPR/XLPE (90°C) 1 KV - 16 MM2 </v>
      </c>
      <c r="C278" s="11" t="str">
        <f>ORÇAMENTO!F63</f>
        <v xml:space="preserve">M </v>
      </c>
      <c r="D278" s="26">
        <f>D283+11.37+1.4</f>
        <v>426.1400000000001</v>
      </c>
    </row>
    <row r="279" spans="1:4" x14ac:dyDescent="0.3">
      <c r="A279" s="9" t="str">
        <f>ORÇAMENTO!A64</f>
        <v>6.3</v>
      </c>
      <c r="B279" s="15" t="str">
        <f>ORÇAMENTO!D64</f>
        <v xml:space="preserve">CABO EPR/XLPE (90°C) 1 KV - 25 MM2 </v>
      </c>
      <c r="C279" s="11" t="str">
        <f>ORÇAMENTO!F64</f>
        <v xml:space="preserve">M </v>
      </c>
      <c r="D279" s="37">
        <f>2*(D283+11.37)+1.4</f>
        <v>850.88000000000022</v>
      </c>
    </row>
    <row r="280" spans="1:4" x14ac:dyDescent="0.3">
      <c r="A280" s="9" t="str">
        <f>ORÇAMENTO!A65</f>
        <v>6.4</v>
      </c>
      <c r="B280" s="15" t="str">
        <f>ORÇAMENTO!D65</f>
        <v xml:space="preserve">CAIXA DE PASSAGEM - TAMPA EM CONCRETO ARMADO 25 MPA E=5CM </v>
      </c>
      <c r="C280" s="11" t="str">
        <f>ORÇAMENTO!F65</f>
        <v xml:space="preserve">m2 </v>
      </c>
      <c r="D280" s="26">
        <f>(32*0.2*0.2)</f>
        <v>1.2800000000000002</v>
      </c>
    </row>
    <row r="281" spans="1:4" x14ac:dyDescent="0.3">
      <c r="A281" s="9" t="str">
        <f>ORÇAMENTO!A66</f>
        <v>6.5</v>
      </c>
      <c r="B281" s="15" t="str">
        <f>ORÇAMENTO!D66</f>
        <v xml:space="preserve">CAIXA DE PASSAGEM 20X20X25CM FUNDO BRITA SEM TAMPA </v>
      </c>
      <c r="C281" s="11" t="str">
        <f>ORÇAMENTO!F66</f>
        <v xml:space="preserve">Un </v>
      </c>
      <c r="D281" s="37">
        <v>32</v>
      </c>
    </row>
    <row r="282" spans="1:4" x14ac:dyDescent="0.3">
      <c r="A282" s="9" t="str">
        <f>ORÇAMENTO!A67</f>
        <v>6.6</v>
      </c>
      <c r="B282" s="15" t="str">
        <f>ORÇAMENTO!D67</f>
        <v xml:space="preserve">ELETRODUTO PVC FLEXÍVEL - MANGUEIRA CORRUGADA REFORÇADA - DIAM. 40MM </v>
      </c>
      <c r="C282" s="11" t="str">
        <f>ORÇAMENTO!F67</f>
        <v xml:space="preserve">M </v>
      </c>
      <c r="D282" s="26">
        <f>13.46+3.75+8.46+17.47+8.5+21.31+18.07+3.66+8.45+17.47+8.5+14.89+12.24+2.39+8.24+2.3+14.15+2.3+13.54+18.56+12.81+16.21+1.05+0.7+1.1+19.04+7.81</f>
        <v>276.43000000000006</v>
      </c>
    </row>
    <row r="283" spans="1:4" x14ac:dyDescent="0.3">
      <c r="A283" s="9" t="str">
        <f>ORÇAMENTO!A68</f>
        <v>6.7</v>
      </c>
      <c r="B283" s="15" t="str">
        <f>ORÇAMENTO!D68</f>
        <v xml:space="preserve">ELETRODUTO PVC FLEXÍVEL - MANGUEIRA CORRUGADA REFORÇADA - DIAM. 50MM </v>
      </c>
      <c r="C283" s="11" t="str">
        <f>ORÇAMENTO!F68</f>
        <v xml:space="preserve">M </v>
      </c>
      <c r="D283" s="37">
        <f>20.77+20.33+19.39+19.33+19.81+20.7+20.54+19.3+21.22+17.66+20.92+20.15+18.78+13.84+20.35+19.72+20.92+19.24+20.11+20.61+19.68</f>
        <v>413.37000000000012</v>
      </c>
    </row>
    <row r="284" spans="1:4" x14ac:dyDescent="0.3">
      <c r="A284" s="9" t="str">
        <f>ORÇAMENTO!A69</f>
        <v>6.8</v>
      </c>
      <c r="B284" s="15" t="str">
        <f>ORÇAMENTO!D69</f>
        <v xml:space="preserve">ELETRODUTO PVC FLEXÍVEL - MANGUEIRA CORRUGADA REFORÇADA - DIAM. 75MM </v>
      </c>
      <c r="C284" s="11" t="str">
        <f>ORÇAMENTO!F69</f>
        <v xml:space="preserve">M </v>
      </c>
      <c r="D284" s="26">
        <f>1.4+11.34</f>
        <v>12.74</v>
      </c>
    </row>
    <row r="285" spans="1:4" x14ac:dyDescent="0.3">
      <c r="A285" s="9" t="str">
        <f>ORÇAMENTO!A70</f>
        <v>6.9</v>
      </c>
      <c r="B285" s="15" t="str">
        <f>ORÇAMENTO!D70</f>
        <v xml:space="preserve">FIO ISOLADO PVC 750 V, No. 2,5 MM2 </v>
      </c>
      <c r="C285" s="11" t="str">
        <f>ORÇAMENTO!F70</f>
        <v xml:space="preserve">M </v>
      </c>
      <c r="D285" s="37">
        <f>1.4*2+3*19.74+3*12.24+3*2.39+3*8.24+3*2.3+3*14.15+3*2.3</f>
        <v>186.88000000000002</v>
      </c>
    </row>
    <row r="286" spans="1:4" x14ac:dyDescent="0.3">
      <c r="A286" s="9" t="str">
        <f>ORÇAMENTO!A71</f>
        <v>6.10</v>
      </c>
      <c r="B286" s="15" t="str">
        <f>ORÇAMENTO!D71</f>
        <v xml:space="preserve">FIO ISOLADO PVC 750 V, No. 4 MM2 </v>
      </c>
      <c r="C286" s="11" t="str">
        <f>ORÇAMENTO!F71</f>
        <v xml:space="preserve">M </v>
      </c>
      <c r="D286" s="26">
        <f>1.4+13.46+3.75+8.46+17.47+8.5+21.31+18.07+3.66+8.45+17.47+8.5+20.77+20.33+19.39+13.54+1.05+0.7+1.1+19.04+7.81</f>
        <v>234.23</v>
      </c>
    </row>
    <row r="287" spans="1:4" x14ac:dyDescent="0.3">
      <c r="A287" s="9" t="str">
        <f>ORÇAMENTO!A72</f>
        <v>6.11</v>
      </c>
      <c r="B287" s="15" t="str">
        <f>ORÇAMENTO!D72</f>
        <v xml:space="preserve">FIO ISOLADO PVC 750 V, No. 6 MM2 </v>
      </c>
      <c r="C287" s="11" t="str">
        <f>ORÇAMENTO!F72</f>
        <v xml:space="preserve">M </v>
      </c>
      <c r="D287" s="37">
        <f>3*1.4+3*13.46+2*3.75+2*(8.46+17.47+8.5)+3*21.31+3*17.07+2*3.66+2*8.45+2*17.47+2*8.5+14.89+3*19.74+3*20.77+3*20.33+3*19.39+3*13.54+18.56+12.81+16.21+2*1.05+2*0.7+2*1.1+2*19.04+2*7.81</f>
        <v>715.42000000000007</v>
      </c>
    </row>
    <row r="288" spans="1:4" x14ac:dyDescent="0.3">
      <c r="A288" s="9" t="str">
        <f>ORÇAMENTO!A73</f>
        <v>6.12</v>
      </c>
      <c r="B288" s="15" t="str">
        <f>ORÇAMENTO!D73</f>
        <v xml:space="preserve">HASTE REV.COBRE(COPPERWELD) 5/8" X 3,00 M C/CONECTOR </v>
      </c>
      <c r="C288" s="11" t="str">
        <f>ORÇAMENTO!F73</f>
        <v xml:space="preserve">Un </v>
      </c>
      <c r="D288" s="26">
        <v>32</v>
      </c>
    </row>
    <row r="289" spans="1:4" x14ac:dyDescent="0.3">
      <c r="A289" s="9" t="str">
        <f>ORÇAMENTO!A74</f>
        <v>6.13</v>
      </c>
      <c r="B289" s="15" t="str">
        <f>ORÇAMENTO!D74</f>
        <v xml:space="preserve">PADRÃO TRIFASICO 35 MM H=7 METROS </v>
      </c>
      <c r="C289" s="11" t="str">
        <f>ORÇAMENTO!F74</f>
        <v xml:space="preserve">Un </v>
      </c>
      <c r="D289" s="37">
        <v>1</v>
      </c>
    </row>
    <row r="290" spans="1:4" ht="22.5" customHeight="1" x14ac:dyDescent="0.3">
      <c r="A290" s="9" t="str">
        <f>ORÇAMENTO!A75</f>
        <v>6.14</v>
      </c>
      <c r="B290" s="15" t="str">
        <f>ORÇAMENTO!D75</f>
        <v>POSTE SIMPLES CÔNICO CONTÍNUO, CIRCULAR, RETO, COM DIÂMETRO NOMINAL DE 60MM NA EXTREMIDADE, GALVANIZADO A FOGO, Hútil= 7 M - ENGASTADO EM CONCRETO COM FCK = 13,5 MPA</v>
      </c>
      <c r="C290" s="11" t="str">
        <f>ORÇAMENTO!F75</f>
        <v xml:space="preserve">Un </v>
      </c>
      <c r="D290" s="26">
        <f>9+8</f>
        <v>17</v>
      </c>
    </row>
    <row r="291" spans="1:4" x14ac:dyDescent="0.3">
      <c r="A291" s="9" t="str">
        <f>ORÇAMENTO!A76</f>
        <v>6.15</v>
      </c>
      <c r="B291" s="15" t="str">
        <f>ORÇAMENTO!D76</f>
        <v xml:space="preserve">RELE FOTO ELETRICO COM BASE </v>
      </c>
      <c r="C291" s="11" t="str">
        <f>ORÇAMENTO!F76</f>
        <v xml:space="preserve">Un </v>
      </c>
      <c r="D291" s="37">
        <v>39</v>
      </c>
    </row>
    <row r="292" spans="1:4" x14ac:dyDescent="0.3">
      <c r="A292" s="9" t="str">
        <f>ORÇAMENTO!A77</f>
        <v>6.16</v>
      </c>
      <c r="B292" s="15" t="str">
        <f>ORÇAMENTO!D77</f>
        <v xml:space="preserve"> LUMINARIA LED REFLETOR RETANGULAR BIVOLT, LUZ BRANCA, 10 W UN </v>
      </c>
      <c r="C292" s="11" t="str">
        <f>ORÇAMENTO!F77</f>
        <v xml:space="preserve">Un </v>
      </c>
      <c r="D292" s="26">
        <v>10</v>
      </c>
    </row>
    <row r="293" spans="1:4" x14ac:dyDescent="0.3">
      <c r="A293" s="9" t="str">
        <f>ORÇAMENTO!A78</f>
        <v>6.17</v>
      </c>
      <c r="B293" s="15" t="str">
        <f>ORÇAMENTO!D78</f>
        <v xml:space="preserve">LUMINARIA LED REFLETOR RETANGULAR BIVOLT, LUZ BRANCA, 50 W UN  </v>
      </c>
      <c r="C293" s="11" t="str">
        <f>ORÇAMENTO!F78</f>
        <v xml:space="preserve">Un </v>
      </c>
      <c r="D293" s="37">
        <v>10</v>
      </c>
    </row>
    <row r="294" spans="1:4" ht="26.4" x14ac:dyDescent="0.3">
      <c r="A294" s="9" t="str">
        <f>ORÇAMENTO!A79</f>
        <v>6.18</v>
      </c>
      <c r="B294" s="15" t="str">
        <f>ORÇAMENTO!D79</f>
        <v>LUMINÁRIA DE LED PARA ILUMINAÇÃO PÚBLICA, DE 98 W ATÉ 137 W - FORNECIMENTO E INSTALAÇÃO. AF_08/2020</v>
      </c>
      <c r="C294" s="11" t="str">
        <f>ORÇAMENTO!F79</f>
        <v xml:space="preserve"> UN </v>
      </c>
      <c r="D294" s="37">
        <f>9*4</f>
        <v>36</v>
      </c>
    </row>
    <row r="295" spans="1:4" x14ac:dyDescent="0.3">
      <c r="A295" s="9" t="str">
        <f>ORÇAMENTO!A80</f>
        <v>6.19</v>
      </c>
      <c r="B295" s="15" t="str">
        <f>ORÇAMENTO!D80</f>
        <v xml:space="preserve">SUPORTE PARA 4 PÉTALAS PARA LUMINÁRIA DE ILUMINAÇÃO PÚBLICA </v>
      </c>
      <c r="C295" s="11" t="str">
        <f>ORÇAMENTO!F80</f>
        <v xml:space="preserve">Un </v>
      </c>
      <c r="D295" s="37">
        <v>9</v>
      </c>
    </row>
    <row r="296" spans="1:4" ht="15" thickBot="1" x14ac:dyDescent="0.35">
      <c r="A296" s="26" t="str">
        <f>ORÇAMENTO!A81</f>
        <v>6.20</v>
      </c>
      <c r="B296" s="15" t="str">
        <f>ORÇAMENTO!D81</f>
        <v>POSTE ORNAMENTAL COM LUMINÁRIA DE LED</v>
      </c>
      <c r="C296" s="9" t="str">
        <f>ORÇAMENTO!F81</f>
        <v>und</v>
      </c>
      <c r="D296" s="26">
        <v>23</v>
      </c>
    </row>
    <row r="297" spans="1:4" ht="15" thickBot="1" x14ac:dyDescent="0.35">
      <c r="A297" s="3">
        <v>7</v>
      </c>
      <c r="B297" s="42" t="s">
        <v>77</v>
      </c>
      <c r="C297" s="5"/>
      <c r="D297" s="5"/>
    </row>
    <row r="298" spans="1:4" ht="15" thickBot="1" x14ac:dyDescent="0.35">
      <c r="A298" s="6" t="s">
        <v>1</v>
      </c>
      <c r="B298" s="6" t="s">
        <v>65</v>
      </c>
      <c r="C298" s="6" t="s">
        <v>66</v>
      </c>
      <c r="D298" s="6" t="s">
        <v>67</v>
      </c>
    </row>
    <row r="299" spans="1:4" s="202" customFormat="1" x14ac:dyDescent="0.3">
      <c r="A299" s="9" t="str">
        <f>ORÇAMENTO!A85</f>
        <v>7.1</v>
      </c>
      <c r="B299" s="300" t="str">
        <f>ORÇAMENTO!D85</f>
        <v xml:space="preserve">TORNEIRA DE JARDIM COM BICO PARA MANGUEIRA DIÂMETRO DE 1/2" E 3/4" </v>
      </c>
      <c r="C299" s="112" t="str">
        <f>ORÇAMENTO!F85</f>
        <v xml:space="preserve">Un </v>
      </c>
      <c r="D299" s="112">
        <v>2</v>
      </c>
    </row>
    <row r="300" spans="1:4" s="202" customFormat="1" x14ac:dyDescent="0.3">
      <c r="A300" s="9" t="str">
        <f>ORÇAMENTO!A86</f>
        <v>7.2</v>
      </c>
      <c r="B300" s="300" t="str">
        <f>ORÇAMENTO!D86</f>
        <v xml:space="preserve">TUBO SOLDAVEL PVC MARROM DIAMETRO 25 mm </v>
      </c>
      <c r="C300" s="112" t="str">
        <f>ORÇAMENTO!F86</f>
        <v xml:space="preserve">M </v>
      </c>
      <c r="D300" s="112">
        <f>13.85+8.2+29.7+8.1</f>
        <v>59.85</v>
      </c>
    </row>
    <row r="301" spans="1:4" s="202" customFormat="1" x14ac:dyDescent="0.3">
      <c r="A301" s="9" t="str">
        <f>ORÇAMENTO!A87</f>
        <v>7.3</v>
      </c>
      <c r="B301" s="300" t="str">
        <f>ORÇAMENTO!D87</f>
        <v xml:space="preserve">JOELHO 90 GRAUS SOLDAVEL DIAMETRO 25 MM </v>
      </c>
      <c r="C301" s="112" t="str">
        <f>ORÇAMENTO!F87</f>
        <v xml:space="preserve">Un </v>
      </c>
      <c r="D301" s="112">
        <v>7</v>
      </c>
    </row>
    <row r="302" spans="1:4" s="202" customFormat="1" x14ac:dyDescent="0.3">
      <c r="A302" s="9" t="str">
        <f>ORÇAMENTO!A88</f>
        <v>7.4</v>
      </c>
      <c r="B302" s="300" t="str">
        <f>ORÇAMENTO!D88</f>
        <v xml:space="preserve">TE 90 GRAUS SOLDAVEL DIAMETRO 25 mm </v>
      </c>
      <c r="C302" s="112" t="str">
        <f>ORÇAMENTO!F88</f>
        <v xml:space="preserve">Un </v>
      </c>
      <c r="D302" s="112">
        <v>1</v>
      </c>
    </row>
    <row r="303" spans="1:4" s="202" customFormat="1" x14ac:dyDescent="0.3">
      <c r="A303" s="9" t="str">
        <f>ORÇAMENTO!A89</f>
        <v>7.5</v>
      </c>
      <c r="B303" s="300" t="str">
        <f>ORÇAMENTO!D89</f>
        <v xml:space="preserve">UNIAO SOLDAVEL DIAMETRO 25 mm </v>
      </c>
      <c r="C303" s="112" t="str">
        <f>ORÇAMENTO!F89</f>
        <v xml:space="preserve">Un </v>
      </c>
      <c r="D303" s="112">
        <v>9</v>
      </c>
    </row>
    <row r="304" spans="1:4" s="202" customFormat="1" ht="15" thickBot="1" x14ac:dyDescent="0.35">
      <c r="A304" s="9" t="str">
        <f>ORÇAMENTO!A90</f>
        <v>7.6</v>
      </c>
      <c r="B304" s="300" t="str">
        <f>ORÇAMENTO!D90</f>
        <v xml:space="preserve">HIDROMETRO DIAM.RAMAL = 25 MM VAZAO =1,5 A 3 M3 </v>
      </c>
      <c r="C304" s="112" t="str">
        <f>ORÇAMENTO!F90</f>
        <v xml:space="preserve">Un </v>
      </c>
      <c r="D304" s="112">
        <v>1</v>
      </c>
    </row>
    <row r="305" spans="1:4" ht="15" thickBot="1" x14ac:dyDescent="0.35">
      <c r="A305" s="3">
        <f>ORÇAMENTO!A93</f>
        <v>8</v>
      </c>
      <c r="B305" s="4" t="str">
        <f>ORÇAMENTO!D93</f>
        <v xml:space="preserve"> ALVENARIAS E DIVISORIAS</v>
      </c>
      <c r="C305" s="5"/>
      <c r="D305" s="5"/>
    </row>
    <row r="306" spans="1:4" ht="15" thickBot="1" x14ac:dyDescent="0.35">
      <c r="A306" s="6" t="s">
        <v>1</v>
      </c>
      <c r="B306" s="6" t="s">
        <v>65</v>
      </c>
      <c r="C306" s="6" t="s">
        <v>66</v>
      </c>
      <c r="D306" s="6" t="s">
        <v>67</v>
      </c>
    </row>
    <row r="307" spans="1:4" ht="26.4" x14ac:dyDescent="0.3">
      <c r="A307" s="20" t="str">
        <f>ORÇAMENTO!A94</f>
        <v>8.1</v>
      </c>
      <c r="B307" s="21" t="str">
        <f>ORÇAMENTO!D94</f>
        <v>ALVENARIA DE TIJOLO FURADO 1/2 VEZ 14X29X9 - 6 FUROS - ARG. (1CALH:4ARML+100KGDE CI/M3)</v>
      </c>
      <c r="C307" s="39" t="str">
        <f>ORÇAMENTO!F94</f>
        <v xml:space="preserve">m2 </v>
      </c>
      <c r="D307" s="43" t="s">
        <v>110</v>
      </c>
    </row>
    <row r="308" spans="1:4" x14ac:dyDescent="0.3">
      <c r="A308" s="36" t="s">
        <v>80</v>
      </c>
      <c r="B308" s="15" t="s">
        <v>400</v>
      </c>
      <c r="C308" s="16"/>
      <c r="D308" s="28"/>
    </row>
    <row r="309" spans="1:4" x14ac:dyDescent="0.3">
      <c r="A309" s="36"/>
      <c r="B309" s="15" t="s">
        <v>401</v>
      </c>
      <c r="C309" s="16" t="s">
        <v>40</v>
      </c>
      <c r="D309" s="28">
        <v>2</v>
      </c>
    </row>
    <row r="310" spans="1:4" x14ac:dyDescent="0.3">
      <c r="A310" s="36"/>
      <c r="B310" s="15" t="s">
        <v>402</v>
      </c>
      <c r="C310" s="16" t="s">
        <v>163</v>
      </c>
      <c r="D310" s="37">
        <f>(18+18+9+9-2.5-2.5)</f>
        <v>49</v>
      </c>
    </row>
    <row r="311" spans="1:4" x14ac:dyDescent="0.3">
      <c r="A311" s="36"/>
      <c r="B311" s="15" t="s">
        <v>403</v>
      </c>
      <c r="C311" s="16" t="s">
        <v>163</v>
      </c>
      <c r="D311" s="37">
        <v>1.1000000000000001</v>
      </c>
    </row>
    <row r="312" spans="1:4" x14ac:dyDescent="0.3">
      <c r="A312" s="36" t="s">
        <v>507</v>
      </c>
      <c r="B312" s="15" t="s">
        <v>508</v>
      </c>
      <c r="C312" s="16"/>
      <c r="D312" s="37"/>
    </row>
    <row r="313" spans="1:4" x14ac:dyDescent="0.3">
      <c r="A313" s="36"/>
      <c r="B313" s="15" t="s">
        <v>509</v>
      </c>
      <c r="C313" s="16"/>
      <c r="D313" s="37">
        <v>0.4</v>
      </c>
    </row>
    <row r="314" spans="1:4" x14ac:dyDescent="0.3">
      <c r="A314" s="36"/>
      <c r="B314" s="15" t="s">
        <v>288</v>
      </c>
      <c r="C314" s="16"/>
      <c r="D314" s="37">
        <f>(5.97+0.22+5.97+0.22)</f>
        <v>12.38</v>
      </c>
    </row>
    <row r="315" spans="1:4" ht="15" customHeight="1" thickBot="1" x14ac:dyDescent="0.35">
      <c r="A315" s="146" t="s">
        <v>91</v>
      </c>
      <c r="B315" s="147"/>
      <c r="C315" s="148"/>
      <c r="D315" s="12">
        <f>D311*D310*D309+D313*D314</f>
        <v>112.75200000000001</v>
      </c>
    </row>
    <row r="316" spans="1:4" ht="15" thickBot="1" x14ac:dyDescent="0.35">
      <c r="A316" s="3">
        <v>9</v>
      </c>
      <c r="B316" s="4" t="str">
        <f>ORÇAMENTO!D97</f>
        <v>ALVENARIA AUTO-PORTANTE</v>
      </c>
      <c r="C316" s="5"/>
      <c r="D316" s="5"/>
    </row>
    <row r="317" spans="1:4" ht="15" thickBot="1" x14ac:dyDescent="0.35">
      <c r="A317" s="6" t="s">
        <v>1</v>
      </c>
      <c r="B317" s="6" t="s">
        <v>65</v>
      </c>
      <c r="C317" s="6" t="s">
        <v>66</v>
      </c>
      <c r="D317" s="6" t="s">
        <v>67</v>
      </c>
    </row>
    <row r="318" spans="1:4" ht="26.4" x14ac:dyDescent="0.3">
      <c r="A318" s="20" t="str">
        <f>ORÇAMENTO!A98</f>
        <v>9.1</v>
      </c>
      <c r="B318" s="21" t="str">
        <f>ORÇAMENTO!D98</f>
        <v>CORTINA CANALETA CONCRETO 14X19X19 PARA SER CHEIA CONCRETO ARMADO (0,0568M3/M2) - EXCLUSO O CONCRETO</v>
      </c>
      <c r="C318" s="39" t="str">
        <f>ORÇAMENTO!F98</f>
        <v xml:space="preserve">m2 </v>
      </c>
      <c r="D318" s="43" t="s">
        <v>110</v>
      </c>
    </row>
    <row r="319" spans="1:4" x14ac:dyDescent="0.3">
      <c r="A319" s="36" t="s">
        <v>80</v>
      </c>
      <c r="B319" s="15" t="s">
        <v>227</v>
      </c>
      <c r="C319" s="16"/>
      <c r="D319" s="28"/>
    </row>
    <row r="320" spans="1:4" x14ac:dyDescent="0.3">
      <c r="A320" s="36"/>
      <c r="B320" s="15" t="s">
        <v>228</v>
      </c>
      <c r="C320" s="16" t="s">
        <v>40</v>
      </c>
      <c r="D320" s="28">
        <v>6</v>
      </c>
    </row>
    <row r="321" spans="1:4" x14ac:dyDescent="0.3">
      <c r="A321" s="36"/>
      <c r="B321" s="15" t="s">
        <v>272</v>
      </c>
      <c r="C321" s="16" t="s">
        <v>10</v>
      </c>
      <c r="D321" s="37">
        <f>(1.02+1.02+1.3+1.3)*0.19</f>
        <v>0.88159999999999994</v>
      </c>
    </row>
    <row r="322" spans="1:4" x14ac:dyDescent="0.3">
      <c r="A322" s="149" t="s">
        <v>161</v>
      </c>
      <c r="B322" s="150"/>
      <c r="C322" s="150"/>
      <c r="D322" s="33">
        <f>D321*D320</f>
        <v>5.2896000000000001</v>
      </c>
    </row>
    <row r="323" spans="1:4" ht="15" customHeight="1" thickBot="1" x14ac:dyDescent="0.35">
      <c r="A323" s="146" t="s">
        <v>91</v>
      </c>
      <c r="B323" s="147"/>
      <c r="C323" s="148"/>
      <c r="D323" s="12">
        <f>D322</f>
        <v>5.2896000000000001</v>
      </c>
    </row>
    <row r="324" spans="1:4" ht="52.8" x14ac:dyDescent="0.3">
      <c r="A324" s="20" t="str">
        <f>ORÇAMENTO!A99</f>
        <v>9.2</v>
      </c>
      <c r="B324" s="21" t="str">
        <f>ORÇAMENTO!D99</f>
        <v>ALVENARIA DE VEDAÇÃO DE BLOCOS VAZADOS DE CONCRETO DE 14X19X39CM (ESPESSURA 14CM) DE PAREDES COM ÁREA LÍQUIDA MENOR QUE 6M² SEM VÃOS E ARGAMASSA DE ASSENTAMENTO COM PREPARO EM BETONEIRA. AF_06/2014</v>
      </c>
      <c r="C324" s="39" t="str">
        <f>ORÇAMENTO!F99</f>
        <v xml:space="preserve">M2 </v>
      </c>
      <c r="D324" s="43" t="s">
        <v>110</v>
      </c>
    </row>
    <row r="325" spans="1:4" x14ac:dyDescent="0.3">
      <c r="A325" s="36" t="s">
        <v>80</v>
      </c>
      <c r="B325" s="15" t="s">
        <v>227</v>
      </c>
      <c r="C325" s="16"/>
      <c r="D325" s="28"/>
    </row>
    <row r="326" spans="1:4" x14ac:dyDescent="0.3">
      <c r="A326" s="36"/>
      <c r="B326" s="15" t="s">
        <v>228</v>
      </c>
      <c r="C326" s="16" t="s">
        <v>40</v>
      </c>
      <c r="D326" s="28">
        <v>6</v>
      </c>
    </row>
    <row r="327" spans="1:4" x14ac:dyDescent="0.3">
      <c r="A327" s="36"/>
      <c r="B327" s="15" t="s">
        <v>272</v>
      </c>
      <c r="C327" s="16" t="s">
        <v>10</v>
      </c>
      <c r="D327" s="37">
        <f>(1.02+1.02+1.3+1.3)*0.19</f>
        <v>0.88159999999999994</v>
      </c>
    </row>
    <row r="328" spans="1:4" x14ac:dyDescent="0.3">
      <c r="A328" s="149" t="s">
        <v>161</v>
      </c>
      <c r="B328" s="150"/>
      <c r="C328" s="150"/>
      <c r="D328" s="33">
        <f>D327*D326</f>
        <v>5.2896000000000001</v>
      </c>
    </row>
    <row r="329" spans="1:4" x14ac:dyDescent="0.3">
      <c r="A329" s="36" t="s">
        <v>81</v>
      </c>
      <c r="B329" s="15" t="s">
        <v>275</v>
      </c>
      <c r="C329" s="16"/>
      <c r="D329" s="28"/>
    </row>
    <row r="330" spans="1:4" x14ac:dyDescent="0.3">
      <c r="A330" s="36"/>
      <c r="B330" s="15" t="s">
        <v>228</v>
      </c>
      <c r="C330" s="16" t="s">
        <v>40</v>
      </c>
      <c r="D330" s="28">
        <v>3</v>
      </c>
    </row>
    <row r="331" spans="1:4" x14ac:dyDescent="0.3">
      <c r="A331" s="36"/>
      <c r="B331" s="15" t="s">
        <v>272</v>
      </c>
      <c r="C331" s="16" t="s">
        <v>10</v>
      </c>
      <c r="D331" s="37">
        <f>(1.02+1.02+1.3+1.3)*(0.19+0.38)</f>
        <v>2.6448</v>
      </c>
    </row>
    <row r="332" spans="1:4" x14ac:dyDescent="0.3">
      <c r="A332" s="149" t="s">
        <v>161</v>
      </c>
      <c r="B332" s="150"/>
      <c r="C332" s="150"/>
      <c r="D332" s="33">
        <f>D331*D330</f>
        <v>7.9344000000000001</v>
      </c>
    </row>
    <row r="333" spans="1:4" ht="15" customHeight="1" thickBot="1" x14ac:dyDescent="0.35">
      <c r="A333" s="146" t="s">
        <v>91</v>
      </c>
      <c r="B333" s="147"/>
      <c r="C333" s="148"/>
      <c r="D333" s="12">
        <f>D332+D328</f>
        <v>13.224</v>
      </c>
    </row>
    <row r="334" spans="1:4" ht="15" thickBot="1" x14ac:dyDescent="0.35">
      <c r="A334" s="3">
        <v>10</v>
      </c>
      <c r="B334" s="4" t="s">
        <v>78</v>
      </c>
      <c r="C334" s="5"/>
      <c r="D334" s="5"/>
    </row>
    <row r="335" spans="1:4" ht="15" thickBot="1" x14ac:dyDescent="0.35">
      <c r="A335" s="6" t="s">
        <v>1</v>
      </c>
      <c r="B335" s="6" t="s">
        <v>65</v>
      </c>
      <c r="C335" s="6" t="s">
        <v>66</v>
      </c>
      <c r="D335" s="6" t="s">
        <v>67</v>
      </c>
    </row>
    <row r="336" spans="1:4" s="283" customFormat="1" x14ac:dyDescent="0.3">
      <c r="A336" s="29" t="str">
        <f>ORÇAMENTO!A103</f>
        <v>10.1</v>
      </c>
      <c r="B336" s="30" t="str">
        <f>ORÇAMENTO!D103</f>
        <v xml:space="preserve">IMPERMEABILIZACAO-JARDINEIRA C/MANTA ANTI-RAIZ (COMPLETA) </v>
      </c>
      <c r="C336" s="39" t="str">
        <f>ORÇAMENTO!F103</f>
        <v xml:space="preserve">m2 </v>
      </c>
      <c r="D336" s="39" t="s">
        <v>110</v>
      </c>
    </row>
    <row r="337" spans="1:4" x14ac:dyDescent="0.3">
      <c r="A337" s="36" t="s">
        <v>80</v>
      </c>
      <c r="B337" s="15" t="s">
        <v>227</v>
      </c>
      <c r="C337" s="16"/>
      <c r="D337" s="28"/>
    </row>
    <row r="338" spans="1:4" x14ac:dyDescent="0.3">
      <c r="A338" s="36"/>
      <c r="B338" s="15" t="s">
        <v>228</v>
      </c>
      <c r="C338" s="16" t="s">
        <v>40</v>
      </c>
      <c r="D338" s="28">
        <v>6</v>
      </c>
    </row>
    <row r="339" spans="1:4" x14ac:dyDescent="0.3">
      <c r="A339" s="36"/>
      <c r="B339" s="15" t="s">
        <v>280</v>
      </c>
      <c r="C339" s="16" t="s">
        <v>10</v>
      </c>
      <c r="D339" s="37">
        <f>(1.02+1.02+1.02+1.02)*0.38</f>
        <v>1.5504</v>
      </c>
    </row>
    <row r="340" spans="1:4" x14ac:dyDescent="0.3">
      <c r="A340" s="149" t="s">
        <v>161</v>
      </c>
      <c r="B340" s="150"/>
      <c r="C340" s="150"/>
      <c r="D340" s="33">
        <f>D339*D338</f>
        <v>9.3024000000000004</v>
      </c>
    </row>
    <row r="341" spans="1:4" x14ac:dyDescent="0.3">
      <c r="A341" s="36" t="s">
        <v>81</v>
      </c>
      <c r="B341" s="15" t="s">
        <v>275</v>
      </c>
      <c r="C341" s="16"/>
      <c r="D341" s="28"/>
    </row>
    <row r="342" spans="1:4" x14ac:dyDescent="0.3">
      <c r="A342" s="36"/>
      <c r="B342" s="15" t="s">
        <v>228</v>
      </c>
      <c r="C342" s="16" t="s">
        <v>40</v>
      </c>
      <c r="D342" s="28">
        <v>3</v>
      </c>
    </row>
    <row r="343" spans="1:4" x14ac:dyDescent="0.3">
      <c r="A343" s="36"/>
      <c r="B343" s="15" t="s">
        <v>280</v>
      </c>
      <c r="C343" s="16" t="s">
        <v>10</v>
      </c>
      <c r="D343" s="37">
        <f>(1.02+1.02+1.02+1.02)*0.83</f>
        <v>3.3864000000000001</v>
      </c>
    </row>
    <row r="344" spans="1:4" x14ac:dyDescent="0.3">
      <c r="A344" s="149" t="s">
        <v>161</v>
      </c>
      <c r="B344" s="150"/>
      <c r="C344" s="150"/>
      <c r="D344" s="33">
        <f>D343*D342</f>
        <v>10.1592</v>
      </c>
    </row>
    <row r="345" spans="1:4" ht="15" thickBot="1" x14ac:dyDescent="0.35">
      <c r="A345" s="146" t="s">
        <v>91</v>
      </c>
      <c r="B345" s="147"/>
      <c r="C345" s="148"/>
      <c r="D345" s="12">
        <f>D344+D340</f>
        <v>19.461600000000001</v>
      </c>
    </row>
    <row r="346" spans="1:4" s="202" customFormat="1" ht="26.4" x14ac:dyDescent="0.3">
      <c r="A346" s="44" t="str">
        <f>ORÇAMENTO!A104</f>
        <v>10.2</v>
      </c>
      <c r="B346" s="45" t="str">
        <f>ORÇAMENTO!D104</f>
        <v xml:space="preserve">IMPERMEABILIZAÇÃO MURO DE ARRIMO COM 4 DEMÃOS DE EMULSÃO ASFÁLTICA </v>
      </c>
      <c r="C346" s="46" t="str">
        <f>ORÇAMENTO!F104</f>
        <v xml:space="preserve">m2 </v>
      </c>
      <c r="D346" s="39" t="s">
        <v>110</v>
      </c>
    </row>
    <row r="347" spans="1:4" x14ac:dyDescent="0.3">
      <c r="A347" s="37"/>
      <c r="B347" s="40" t="s">
        <v>254</v>
      </c>
      <c r="C347" s="37" t="s">
        <v>10</v>
      </c>
      <c r="D347" s="37">
        <f>1.5*27.47/2</f>
        <v>20.602499999999999</v>
      </c>
    </row>
    <row r="348" spans="1:4" x14ac:dyDescent="0.3">
      <c r="A348" s="37"/>
      <c r="B348" s="40" t="s">
        <v>255</v>
      </c>
      <c r="C348" s="37" t="s">
        <v>10</v>
      </c>
      <c r="D348" s="37">
        <f>((1.5+0.5)*60.34)/2+(1.5*4.14/2)</f>
        <v>63.445</v>
      </c>
    </row>
    <row r="349" spans="1:4" x14ac:dyDescent="0.3">
      <c r="A349" s="37"/>
      <c r="B349" s="40" t="s">
        <v>281</v>
      </c>
      <c r="C349" s="37" t="s">
        <v>40</v>
      </c>
      <c r="D349" s="37">
        <v>2</v>
      </c>
    </row>
    <row r="350" spans="1:4" ht="15" thickBot="1" x14ac:dyDescent="0.35">
      <c r="A350" s="146" t="s">
        <v>91</v>
      </c>
      <c r="B350" s="147"/>
      <c r="C350" s="148"/>
      <c r="D350" s="12">
        <f>(D347+D348)*D349</f>
        <v>168.095</v>
      </c>
    </row>
    <row r="351" spans="1:4" s="202" customFormat="1" x14ac:dyDescent="0.3">
      <c r="A351" s="44" t="str">
        <f>ORÇAMENTO!A105</f>
        <v>10.3</v>
      </c>
      <c r="B351" s="45" t="str">
        <f>ORÇAMENTO!D105</f>
        <v xml:space="preserve">IMPERMEABILIZACAO VIGAS BALDRAMES E=2,0 CM </v>
      </c>
      <c r="C351" s="46" t="str">
        <f>ORÇAMENTO!F105</f>
        <v xml:space="preserve">m2 </v>
      </c>
      <c r="D351" s="39" t="s">
        <v>110</v>
      </c>
    </row>
    <row r="352" spans="1:4" x14ac:dyDescent="0.3">
      <c r="A352" s="37"/>
      <c r="B352" s="40" t="s">
        <v>407</v>
      </c>
      <c r="C352" s="37" t="s">
        <v>163</v>
      </c>
      <c r="D352" s="37">
        <f>D50*2</f>
        <v>99.88</v>
      </c>
    </row>
    <row r="353" spans="1:4" x14ac:dyDescent="0.3">
      <c r="A353" s="37"/>
      <c r="B353" s="40" t="s">
        <v>408</v>
      </c>
      <c r="C353" s="37" t="s">
        <v>163</v>
      </c>
      <c r="D353" s="37">
        <f>(0.15+0.15+0.14)</f>
        <v>0.44</v>
      </c>
    </row>
    <row r="354" spans="1:4" ht="15" thickBot="1" x14ac:dyDescent="0.35">
      <c r="A354" s="146" t="s">
        <v>91</v>
      </c>
      <c r="B354" s="147"/>
      <c r="C354" s="148"/>
      <c r="D354" s="12">
        <f>D352*D353</f>
        <v>43.947199999999995</v>
      </c>
    </row>
    <row r="355" spans="1:4" ht="15" thickBot="1" x14ac:dyDescent="0.35">
      <c r="A355" s="3">
        <v>11</v>
      </c>
      <c r="B355" s="4" t="s">
        <v>83</v>
      </c>
      <c r="C355" s="5"/>
      <c r="D355" s="5"/>
    </row>
    <row r="356" spans="1:4" ht="15" thickBot="1" x14ac:dyDescent="0.35">
      <c r="A356" s="6" t="s">
        <v>1</v>
      </c>
      <c r="B356" s="6" t="s">
        <v>65</v>
      </c>
      <c r="C356" s="6" t="s">
        <v>66</v>
      </c>
      <c r="D356" s="6" t="s">
        <v>67</v>
      </c>
    </row>
    <row r="357" spans="1:4" x14ac:dyDescent="0.3">
      <c r="A357" s="20" t="str">
        <f>ORÇAMENTO!A109</f>
        <v>11.1</v>
      </c>
      <c r="B357" s="21" t="str">
        <f>ORÇAMENTO!D109</f>
        <v>VIGOTA DE MADEIRA 6x16</v>
      </c>
      <c r="C357" s="39" t="str">
        <f>ORÇAMENTO!F109</f>
        <v xml:space="preserve"> m </v>
      </c>
      <c r="D357" s="43" t="s">
        <v>288</v>
      </c>
    </row>
    <row r="358" spans="1:4" x14ac:dyDescent="0.3">
      <c r="A358" s="36" t="s">
        <v>80</v>
      </c>
      <c r="B358" s="15" t="s">
        <v>289</v>
      </c>
      <c r="C358" s="16"/>
      <c r="D358" s="28"/>
    </row>
    <row r="359" spans="1:4" x14ac:dyDescent="0.3">
      <c r="A359" s="36"/>
      <c r="B359" s="15" t="s">
        <v>159</v>
      </c>
      <c r="C359" s="16" t="s">
        <v>40</v>
      </c>
      <c r="D359" s="28">
        <v>3</v>
      </c>
    </row>
    <row r="360" spans="1:4" x14ac:dyDescent="0.3">
      <c r="A360" s="36"/>
      <c r="B360" s="15" t="s">
        <v>290</v>
      </c>
      <c r="C360" s="16" t="s">
        <v>163</v>
      </c>
      <c r="D360" s="37">
        <f>3*3</f>
        <v>9</v>
      </c>
    </row>
    <row r="361" spans="1:4" ht="15" thickBot="1" x14ac:dyDescent="0.35">
      <c r="A361" s="146" t="s">
        <v>91</v>
      </c>
      <c r="B361" s="147"/>
      <c r="C361" s="148"/>
      <c r="D361" s="12">
        <f>D360*D359</f>
        <v>27</v>
      </c>
    </row>
    <row r="362" spans="1:4" ht="26.4" x14ac:dyDescent="0.3">
      <c r="A362" s="20" t="str">
        <f>ORÇAMENTO!A110</f>
        <v>11.2</v>
      </c>
      <c r="B362" s="21" t="str">
        <f>ORÇAMENTO!D110</f>
        <v xml:space="preserve"> PILAR QUADRADO NAO APARELHADO *15 X 15* CM, EM MACARANDUBA, ANGELIM OU EQUIVALENTE DA REGIAO - BRUTA</v>
      </c>
      <c r="C362" s="39" t="str">
        <f>ORÇAMENTO!F110</f>
        <v xml:space="preserve">M </v>
      </c>
      <c r="D362" s="43" t="s">
        <v>288</v>
      </c>
    </row>
    <row r="363" spans="1:4" x14ac:dyDescent="0.3">
      <c r="A363" s="36" t="s">
        <v>80</v>
      </c>
      <c r="B363" s="15" t="s">
        <v>289</v>
      </c>
      <c r="C363" s="16"/>
      <c r="D363" s="28"/>
    </row>
    <row r="364" spans="1:4" x14ac:dyDescent="0.3">
      <c r="A364" s="36"/>
      <c r="B364" s="15" t="s">
        <v>159</v>
      </c>
      <c r="C364" s="16" t="s">
        <v>40</v>
      </c>
      <c r="D364" s="28">
        <v>3</v>
      </c>
    </row>
    <row r="365" spans="1:4" x14ac:dyDescent="0.3">
      <c r="A365" s="36"/>
      <c r="B365" s="15" t="s">
        <v>291</v>
      </c>
      <c r="C365" s="16" t="s">
        <v>40</v>
      </c>
      <c r="D365" s="37">
        <v>6</v>
      </c>
    </row>
    <row r="366" spans="1:4" x14ac:dyDescent="0.3">
      <c r="A366" s="36"/>
      <c r="B366" s="15" t="s">
        <v>292</v>
      </c>
      <c r="C366" s="16" t="s">
        <v>163</v>
      </c>
      <c r="D366" s="37">
        <v>3</v>
      </c>
    </row>
    <row r="367" spans="1:4" ht="15" thickBot="1" x14ac:dyDescent="0.35">
      <c r="A367" s="146" t="s">
        <v>91</v>
      </c>
      <c r="B367" s="147"/>
      <c r="C367" s="148"/>
      <c r="D367" s="12">
        <f>D366*D364*D365</f>
        <v>54</v>
      </c>
    </row>
    <row r="368" spans="1:4" ht="24.75" customHeight="1" thickBot="1" x14ac:dyDescent="0.35">
      <c r="A368" s="3">
        <f>ORÇAMENTO!A113</f>
        <v>12</v>
      </c>
      <c r="B368" s="156" t="str">
        <f>ORÇAMENTO!D113</f>
        <v>ESQUADRIAS METÁLICAS - ( OBS.: 1- OS VIDROS NÃO ESTÃO INCLUSOS NAS ESQUADRIAS; 2- JÁ ESTÁ CONSIDERADO NO CUSTO DAS ESQUADRIAS DE ALUMÍNIO O CONTRAMARCO )</v>
      </c>
      <c r="C368" s="157"/>
      <c r="D368" s="157"/>
    </row>
    <row r="369" spans="1:4" ht="15" thickBot="1" x14ac:dyDescent="0.35">
      <c r="A369" s="6" t="s">
        <v>1</v>
      </c>
      <c r="B369" s="121" t="s">
        <v>65</v>
      </c>
      <c r="C369" s="6" t="s">
        <v>66</v>
      </c>
      <c r="D369" s="6" t="s">
        <v>67</v>
      </c>
    </row>
    <row r="370" spans="1:4" x14ac:dyDescent="0.3">
      <c r="A370" s="20" t="str">
        <f>ORÇAMENTO!A114</f>
        <v>12.1</v>
      </c>
      <c r="B370" s="21" t="str">
        <f>ORÇAMENTO!D114</f>
        <v>GRADE DE FRENTE/FERRO REDONDO COM ESTACA D=25CM ARMADA - GF-1</v>
      </c>
      <c r="C370" s="39" t="str">
        <f>ORÇAMENTO!F114</f>
        <v xml:space="preserve"> m2 </v>
      </c>
      <c r="D370" s="43" t="s">
        <v>110</v>
      </c>
    </row>
    <row r="371" spans="1:4" x14ac:dyDescent="0.3">
      <c r="A371" s="36"/>
      <c r="B371" s="15" t="s">
        <v>448</v>
      </c>
      <c r="C371" s="16" t="s">
        <v>10</v>
      </c>
      <c r="D371" s="28">
        <f>84.72*1.1</f>
        <v>93.192000000000007</v>
      </c>
    </row>
    <row r="372" spans="1:4" x14ac:dyDescent="0.3">
      <c r="A372" s="36"/>
      <c r="B372" s="15" t="s">
        <v>449</v>
      </c>
      <c r="C372" s="16" t="s">
        <v>10</v>
      </c>
      <c r="D372" s="28">
        <f>18.94*1.1</f>
        <v>20.834000000000003</v>
      </c>
    </row>
    <row r="373" spans="1:4" ht="15" thickBot="1" x14ac:dyDescent="0.35">
      <c r="A373" s="146" t="s">
        <v>91</v>
      </c>
      <c r="B373" s="147"/>
      <c r="C373" s="148"/>
      <c r="D373" s="12">
        <f>SUM(D371:D372)</f>
        <v>114.02600000000001</v>
      </c>
    </row>
    <row r="374" spans="1:4" x14ac:dyDescent="0.3">
      <c r="A374" s="20" t="str">
        <f>ORÇAMENTO!A115</f>
        <v>12.2</v>
      </c>
      <c r="B374" s="21" t="str">
        <f>ORÇAMENTO!D115</f>
        <v xml:space="preserve">GUARDA BICICLETAS </v>
      </c>
      <c r="C374" s="39" t="str">
        <f>ORÇAMENTO!F115</f>
        <v xml:space="preserve">M </v>
      </c>
      <c r="D374" s="43" t="s">
        <v>154</v>
      </c>
    </row>
    <row r="375" spans="1:4" x14ac:dyDescent="0.3">
      <c r="A375" s="36"/>
      <c r="B375" s="15" t="s">
        <v>450</v>
      </c>
      <c r="C375" s="16" t="s">
        <v>163</v>
      </c>
      <c r="D375" s="28">
        <v>2.5</v>
      </c>
    </row>
    <row r="376" spans="1:4" ht="15" thickBot="1" x14ac:dyDescent="0.35">
      <c r="A376" s="146" t="s">
        <v>91</v>
      </c>
      <c r="B376" s="147"/>
      <c r="C376" s="148"/>
      <c r="D376" s="12">
        <f>D375</f>
        <v>2.5</v>
      </c>
    </row>
    <row r="377" spans="1:4" ht="15" thickBot="1" x14ac:dyDescent="0.35">
      <c r="A377" s="3">
        <v>12</v>
      </c>
      <c r="B377" s="4" t="s">
        <v>79</v>
      </c>
      <c r="C377" s="5"/>
      <c r="D377" s="5"/>
    </row>
    <row r="378" spans="1:4" ht="15" thickBot="1" x14ac:dyDescent="0.35">
      <c r="A378" s="6" t="s">
        <v>1</v>
      </c>
      <c r="B378" s="6" t="s">
        <v>65</v>
      </c>
      <c r="C378" s="6" t="s">
        <v>66</v>
      </c>
      <c r="D378" s="6" t="s">
        <v>67</v>
      </c>
    </row>
    <row r="379" spans="1:4" ht="26.4" x14ac:dyDescent="0.3">
      <c r="A379" s="20" t="str">
        <f>ORÇAMENTO!A119</f>
        <v>13.1</v>
      </c>
      <c r="B379" s="21" t="str">
        <f>ORÇAMENTO!D119</f>
        <v>ESTRUTURA METÁLICA CONVENCIONAL EM AÇO DO TIPO MR-250 / ASTM A36 COM FUNDO ANTICORROSIVO</v>
      </c>
      <c r="C379" s="22" t="str">
        <f>ORÇAMENTO!F119</f>
        <v xml:space="preserve">Kg </v>
      </c>
      <c r="D379" s="22" t="s">
        <v>303</v>
      </c>
    </row>
    <row r="380" spans="1:4" x14ac:dyDescent="0.3">
      <c r="A380" s="9" t="s">
        <v>80</v>
      </c>
      <c r="B380" s="15" t="s">
        <v>295</v>
      </c>
      <c r="C380" s="22"/>
      <c r="D380" s="16"/>
    </row>
    <row r="381" spans="1:4" x14ac:dyDescent="0.3">
      <c r="A381" s="20"/>
      <c r="B381" s="15" t="s">
        <v>296</v>
      </c>
      <c r="C381" s="22"/>
      <c r="D381" s="16"/>
    </row>
    <row r="382" spans="1:4" x14ac:dyDescent="0.3">
      <c r="A382" s="20"/>
      <c r="B382" s="15" t="s">
        <v>297</v>
      </c>
      <c r="C382" s="16" t="s">
        <v>40</v>
      </c>
      <c r="D382" s="17">
        <v>5</v>
      </c>
    </row>
    <row r="383" spans="1:4" x14ac:dyDescent="0.3">
      <c r="A383" s="20"/>
      <c r="B383" s="15" t="s">
        <v>298</v>
      </c>
      <c r="C383" s="16" t="s">
        <v>163</v>
      </c>
      <c r="D383" s="17">
        <v>3.8</v>
      </c>
    </row>
    <row r="384" spans="1:4" x14ac:dyDescent="0.3">
      <c r="A384" s="149" t="s">
        <v>161</v>
      </c>
      <c r="B384" s="150"/>
      <c r="C384" s="150"/>
      <c r="D384" s="33">
        <f>D383*D382</f>
        <v>19</v>
      </c>
    </row>
    <row r="385" spans="1:4" x14ac:dyDescent="0.3">
      <c r="A385" s="9" t="s">
        <v>81</v>
      </c>
      <c r="B385" s="15" t="s">
        <v>299</v>
      </c>
      <c r="C385" s="22"/>
      <c r="D385" s="17"/>
    </row>
    <row r="386" spans="1:4" x14ac:dyDescent="0.3">
      <c r="A386" s="20"/>
      <c r="B386" s="15" t="s">
        <v>297</v>
      </c>
      <c r="C386" s="16" t="s">
        <v>40</v>
      </c>
      <c r="D386" s="17">
        <v>2</v>
      </c>
    </row>
    <row r="387" spans="1:4" x14ac:dyDescent="0.3">
      <c r="A387" s="20"/>
      <c r="B387" s="15" t="s">
        <v>298</v>
      </c>
      <c r="C387" s="16" t="s">
        <v>163</v>
      </c>
      <c r="D387" s="17">
        <v>4</v>
      </c>
    </row>
    <row r="388" spans="1:4" x14ac:dyDescent="0.3">
      <c r="A388" s="149" t="s">
        <v>161</v>
      </c>
      <c r="B388" s="150"/>
      <c r="C388" s="150"/>
      <c r="D388" s="33">
        <f>D387*D386</f>
        <v>8</v>
      </c>
    </row>
    <row r="389" spans="1:4" x14ac:dyDescent="0.3">
      <c r="A389" s="9" t="s">
        <v>82</v>
      </c>
      <c r="B389" s="15" t="s">
        <v>300</v>
      </c>
      <c r="C389" s="22"/>
      <c r="D389" s="17"/>
    </row>
    <row r="390" spans="1:4" x14ac:dyDescent="0.3">
      <c r="A390" s="20"/>
      <c r="B390" s="15" t="s">
        <v>297</v>
      </c>
      <c r="C390" s="16" t="s">
        <v>40</v>
      </c>
      <c r="D390" s="17">
        <v>7</v>
      </c>
    </row>
    <row r="391" spans="1:4" x14ac:dyDescent="0.3">
      <c r="A391" s="20"/>
      <c r="B391" s="15" t="s">
        <v>298</v>
      </c>
      <c r="C391" s="16" t="s">
        <v>163</v>
      </c>
      <c r="D391" s="17">
        <v>2.8</v>
      </c>
    </row>
    <row r="392" spans="1:4" x14ac:dyDescent="0.3">
      <c r="A392" s="149" t="s">
        <v>161</v>
      </c>
      <c r="B392" s="150"/>
      <c r="C392" s="150"/>
      <c r="D392" s="33">
        <f>D391*D390</f>
        <v>19.599999999999998</v>
      </c>
    </row>
    <row r="393" spans="1:4" x14ac:dyDescent="0.3">
      <c r="A393" s="9" t="s">
        <v>231</v>
      </c>
      <c r="B393" s="15" t="s">
        <v>301</v>
      </c>
      <c r="C393" s="16" t="s">
        <v>302</v>
      </c>
      <c r="D393" s="17">
        <v>11.04</v>
      </c>
    </row>
    <row r="394" spans="1:4" ht="15" thickBot="1" x14ac:dyDescent="0.35">
      <c r="A394" s="146" t="s">
        <v>232</v>
      </c>
      <c r="B394" s="147"/>
      <c r="C394" s="148"/>
      <c r="D394" s="12">
        <f>(D392+D388+D384)*D393</f>
        <v>514.46399999999994</v>
      </c>
    </row>
    <row r="395" spans="1:4" ht="15" thickBot="1" x14ac:dyDescent="0.35">
      <c r="A395" s="3">
        <v>17</v>
      </c>
      <c r="B395" s="4" t="s">
        <v>23</v>
      </c>
      <c r="C395" s="5"/>
      <c r="D395" s="5"/>
    </row>
    <row r="396" spans="1:4" ht="15" thickBot="1" x14ac:dyDescent="0.35">
      <c r="A396" s="6" t="s">
        <v>1</v>
      </c>
      <c r="B396" s="6" t="s">
        <v>65</v>
      </c>
      <c r="C396" s="6" t="s">
        <v>66</v>
      </c>
      <c r="D396" s="6" t="s">
        <v>67</v>
      </c>
    </row>
    <row r="397" spans="1:4" x14ac:dyDescent="0.3">
      <c r="A397" s="20" t="str">
        <f>ORÇAMENTO!A123</f>
        <v>14.1</v>
      </c>
      <c r="B397" s="21" t="str">
        <f>ORÇAMENTO!D123</f>
        <v xml:space="preserve">CHAPISCO COMUM </v>
      </c>
      <c r="C397" s="39" t="str">
        <f>ORÇAMENTO!F123</f>
        <v xml:space="preserve">m2 </v>
      </c>
      <c r="D397" s="26"/>
    </row>
    <row r="398" spans="1:4" x14ac:dyDescent="0.3">
      <c r="A398" s="9" t="s">
        <v>80</v>
      </c>
      <c r="B398" s="15" t="s">
        <v>308</v>
      </c>
      <c r="C398" s="37" t="s">
        <v>10</v>
      </c>
      <c r="D398" s="26">
        <f>D161</f>
        <v>81.977499999999992</v>
      </c>
    </row>
    <row r="399" spans="1:4" x14ac:dyDescent="0.3">
      <c r="A399" s="9" t="s">
        <v>81</v>
      </c>
      <c r="B399" s="15" t="s">
        <v>309</v>
      </c>
      <c r="C399" s="37" t="s">
        <v>10</v>
      </c>
      <c r="D399" s="26">
        <f>D322+D328</f>
        <v>10.5792</v>
      </c>
    </row>
    <row r="400" spans="1:4" x14ac:dyDescent="0.3">
      <c r="A400" s="9" t="s">
        <v>82</v>
      </c>
      <c r="B400" s="15" t="s">
        <v>275</v>
      </c>
      <c r="C400" s="37" t="s">
        <v>10</v>
      </c>
      <c r="D400" s="26">
        <f>D332</f>
        <v>7.9344000000000001</v>
      </c>
    </row>
    <row r="401" spans="1:4" x14ac:dyDescent="0.3">
      <c r="A401" s="36" t="s">
        <v>231</v>
      </c>
      <c r="B401" s="15" t="s">
        <v>400</v>
      </c>
      <c r="C401" s="16"/>
      <c r="D401" s="28"/>
    </row>
    <row r="402" spans="1:4" x14ac:dyDescent="0.3">
      <c r="A402" s="36"/>
      <c r="B402" s="15" t="s">
        <v>401</v>
      </c>
      <c r="C402" s="16" t="s">
        <v>40</v>
      </c>
      <c r="D402" s="28">
        <v>2</v>
      </c>
    </row>
    <row r="403" spans="1:4" x14ac:dyDescent="0.3">
      <c r="A403" s="36"/>
      <c r="B403" s="15" t="s">
        <v>402</v>
      </c>
      <c r="C403" s="16" t="s">
        <v>163</v>
      </c>
      <c r="D403" s="37">
        <f>(18+18+9+9-2.5-2.5)</f>
        <v>49</v>
      </c>
    </row>
    <row r="404" spans="1:4" x14ac:dyDescent="0.3">
      <c r="A404" s="36"/>
      <c r="B404" s="15" t="s">
        <v>403</v>
      </c>
      <c r="C404" s="16" t="s">
        <v>163</v>
      </c>
      <c r="D404" s="37">
        <v>1.1000000000000001</v>
      </c>
    </row>
    <row r="405" spans="1:4" x14ac:dyDescent="0.3">
      <c r="A405" s="36"/>
      <c r="B405" s="15" t="s">
        <v>281</v>
      </c>
      <c r="C405" s="16"/>
      <c r="D405" s="37">
        <v>2</v>
      </c>
    </row>
    <row r="406" spans="1:4" x14ac:dyDescent="0.3">
      <c r="A406" s="149" t="s">
        <v>161</v>
      </c>
      <c r="B406" s="150"/>
      <c r="C406" s="150"/>
      <c r="D406" s="33">
        <f>D402*D403*D404*D405</f>
        <v>215.60000000000002</v>
      </c>
    </row>
    <row r="407" spans="1:4" x14ac:dyDescent="0.3">
      <c r="A407" s="36" t="s">
        <v>381</v>
      </c>
      <c r="B407" s="15" t="s">
        <v>508</v>
      </c>
      <c r="C407" s="16"/>
      <c r="D407" s="37"/>
    </row>
    <row r="408" spans="1:4" x14ac:dyDescent="0.3">
      <c r="A408" s="36"/>
      <c r="B408" s="15" t="s">
        <v>509</v>
      </c>
      <c r="C408" s="16"/>
      <c r="D408" s="37">
        <v>0.4</v>
      </c>
    </row>
    <row r="409" spans="1:4" x14ac:dyDescent="0.3">
      <c r="A409" s="36"/>
      <c r="B409" s="15" t="s">
        <v>288</v>
      </c>
      <c r="C409" s="16"/>
      <c r="D409" s="37">
        <f>(5.97+0.22+5.97+0.22)</f>
        <v>12.38</v>
      </c>
    </row>
    <row r="410" spans="1:4" x14ac:dyDescent="0.3">
      <c r="A410" s="149" t="s">
        <v>161</v>
      </c>
      <c r="B410" s="150"/>
      <c r="C410" s="150"/>
      <c r="D410" s="33">
        <f>D408*D409</f>
        <v>4.9520000000000008</v>
      </c>
    </row>
    <row r="411" spans="1:4" ht="15" customHeight="1" thickBot="1" x14ac:dyDescent="0.35">
      <c r="A411" s="146" t="s">
        <v>91</v>
      </c>
      <c r="B411" s="147"/>
      <c r="C411" s="148"/>
      <c r="D411" s="12">
        <f>D398+D399+D400+D406+D410</f>
        <v>321.04309999999998</v>
      </c>
    </row>
    <row r="412" spans="1:4" x14ac:dyDescent="0.3">
      <c r="A412" s="20" t="str">
        <f>ORÇAMENTO!A124</f>
        <v>14.2</v>
      </c>
      <c r="B412" s="21" t="str">
        <f>ORÇAMENTO!D124</f>
        <v xml:space="preserve">REBOCO (1 CALH:4 ARFC+100kgCI/M3) </v>
      </c>
      <c r="C412" s="39" t="str">
        <f>ORÇAMENTO!F124</f>
        <v xml:space="preserve">m2 </v>
      </c>
      <c r="D412" s="26"/>
    </row>
    <row r="413" spans="1:4" x14ac:dyDescent="0.3">
      <c r="A413" s="9" t="s">
        <v>80</v>
      </c>
      <c r="B413" s="15" t="s">
        <v>308</v>
      </c>
      <c r="C413" s="37" t="str">
        <f>C398</f>
        <v xml:space="preserve">m2 </v>
      </c>
      <c r="D413" s="26">
        <f>D398</f>
        <v>81.977499999999992</v>
      </c>
    </row>
    <row r="414" spans="1:4" x14ac:dyDescent="0.3">
      <c r="A414" s="9" t="s">
        <v>81</v>
      </c>
      <c r="B414" s="15" t="s">
        <v>309</v>
      </c>
      <c r="C414" s="37" t="str">
        <f>C399</f>
        <v xml:space="preserve">m2 </v>
      </c>
      <c r="D414" s="26">
        <f t="shared" ref="D414:D415" si="0">D399</f>
        <v>10.5792</v>
      </c>
    </row>
    <row r="415" spans="1:4" x14ac:dyDescent="0.3">
      <c r="A415" s="9" t="s">
        <v>82</v>
      </c>
      <c r="B415" s="15" t="s">
        <v>275</v>
      </c>
      <c r="C415" s="37" t="str">
        <f>C400</f>
        <v xml:space="preserve">m2 </v>
      </c>
      <c r="D415" s="26">
        <f t="shared" si="0"/>
        <v>7.9344000000000001</v>
      </c>
    </row>
    <row r="416" spans="1:4" x14ac:dyDescent="0.3">
      <c r="A416" s="36" t="s">
        <v>231</v>
      </c>
      <c r="B416" s="15" t="s">
        <v>400</v>
      </c>
      <c r="C416" s="16"/>
      <c r="D416" s="28"/>
    </row>
    <row r="417" spans="1:4" x14ac:dyDescent="0.3">
      <c r="A417" s="36"/>
      <c r="B417" s="15" t="s">
        <v>401</v>
      </c>
      <c r="C417" s="16" t="s">
        <v>40</v>
      </c>
      <c r="D417" s="28">
        <v>2</v>
      </c>
    </row>
    <row r="418" spans="1:4" x14ac:dyDescent="0.3">
      <c r="A418" s="36"/>
      <c r="B418" s="15" t="s">
        <v>402</v>
      </c>
      <c r="C418" s="16" t="s">
        <v>163</v>
      </c>
      <c r="D418" s="37">
        <f>(18+18+9+9-2.5-2.5)</f>
        <v>49</v>
      </c>
    </row>
    <row r="419" spans="1:4" x14ac:dyDescent="0.3">
      <c r="A419" s="36"/>
      <c r="B419" s="15" t="s">
        <v>403</v>
      </c>
      <c r="C419" s="16" t="s">
        <v>163</v>
      </c>
      <c r="D419" s="37">
        <v>1.1000000000000001</v>
      </c>
    </row>
    <row r="420" spans="1:4" x14ac:dyDescent="0.3">
      <c r="A420" s="36"/>
      <c r="B420" s="15" t="s">
        <v>281</v>
      </c>
      <c r="C420" s="16"/>
      <c r="D420" s="37">
        <v>2</v>
      </c>
    </row>
    <row r="421" spans="1:4" x14ac:dyDescent="0.3">
      <c r="A421" s="149" t="s">
        <v>161</v>
      </c>
      <c r="B421" s="150"/>
      <c r="C421" s="150"/>
      <c r="D421" s="33">
        <f>D417*D418*D419*D420</f>
        <v>215.60000000000002</v>
      </c>
    </row>
    <row r="422" spans="1:4" x14ac:dyDescent="0.3">
      <c r="A422" s="36" t="s">
        <v>381</v>
      </c>
      <c r="B422" s="15" t="s">
        <v>508</v>
      </c>
      <c r="C422" s="16"/>
      <c r="D422" s="37"/>
    </row>
    <row r="423" spans="1:4" x14ac:dyDescent="0.3">
      <c r="A423" s="36"/>
      <c r="B423" s="15" t="s">
        <v>509</v>
      </c>
      <c r="C423" s="16"/>
      <c r="D423" s="37">
        <v>0.4</v>
      </c>
    </row>
    <row r="424" spans="1:4" x14ac:dyDescent="0.3">
      <c r="A424" s="36"/>
      <c r="B424" s="15" t="s">
        <v>288</v>
      </c>
      <c r="C424" s="16"/>
      <c r="D424" s="37">
        <f>(5.97+0.22+5.97+0.22)</f>
        <v>12.38</v>
      </c>
    </row>
    <row r="425" spans="1:4" x14ac:dyDescent="0.3">
      <c r="A425" s="149" t="s">
        <v>161</v>
      </c>
      <c r="B425" s="150"/>
      <c r="C425" s="150"/>
      <c r="D425" s="33">
        <f>D423*D424</f>
        <v>4.9520000000000008</v>
      </c>
    </row>
    <row r="426" spans="1:4" ht="15" customHeight="1" thickBot="1" x14ac:dyDescent="0.35">
      <c r="A426" s="146" t="s">
        <v>91</v>
      </c>
      <c r="B426" s="147"/>
      <c r="C426" s="148"/>
      <c r="D426" s="12">
        <f>D413+D414+D415+D421+D425</f>
        <v>321.04309999999998</v>
      </c>
    </row>
    <row r="427" spans="1:4" ht="15" thickBot="1" x14ac:dyDescent="0.35">
      <c r="A427" s="3">
        <f>ORÇAMENTO!A127</f>
        <v>15</v>
      </c>
      <c r="B427" s="4" t="str">
        <f>ORÇAMENTO!D127</f>
        <v>REVESTIMENTO DE PISO</v>
      </c>
      <c r="C427" s="5"/>
      <c r="D427" s="47"/>
    </row>
    <row r="428" spans="1:4" ht="15" thickBot="1" x14ac:dyDescent="0.35">
      <c r="A428" s="6" t="s">
        <v>1</v>
      </c>
      <c r="B428" s="6" t="s">
        <v>65</v>
      </c>
      <c r="C428" s="6" t="s">
        <v>66</v>
      </c>
      <c r="D428" s="6" t="s">
        <v>67</v>
      </c>
    </row>
    <row r="429" spans="1:4" s="284" customFormat="1" ht="26.4" x14ac:dyDescent="0.3">
      <c r="A429" s="22" t="str">
        <f>ORÇAMENTO!A128</f>
        <v>15.1</v>
      </c>
      <c r="B429" s="21" t="str">
        <f>ORÇAMENTO!D128</f>
        <v>PASSEIO PROTECAO EM CONC.DESEMPEN.5 CM 1:2,5:3,5 ( INCLUSO ESPELHO DE 30CM/ESCAVAÇÃO/REATERRO/APILOAMENTO/ATERRO INTERNO)</v>
      </c>
      <c r="C429" s="39" t="str">
        <f>ORÇAMENTO!F128</f>
        <v>m2</v>
      </c>
      <c r="D429" s="43" t="s">
        <v>415</v>
      </c>
    </row>
    <row r="430" spans="1:4" s="202" customFormat="1" x14ac:dyDescent="0.3">
      <c r="A430" s="107"/>
      <c r="B430" s="111" t="s">
        <v>416</v>
      </c>
      <c r="C430" s="112" t="s">
        <v>33</v>
      </c>
      <c r="D430" s="112">
        <v>404.82</v>
      </c>
    </row>
    <row r="431" spans="1:4" ht="15" thickBot="1" x14ac:dyDescent="0.35">
      <c r="A431" s="146" t="s">
        <v>91</v>
      </c>
      <c r="B431" s="147"/>
      <c r="C431" s="148"/>
      <c r="D431" s="12">
        <f>D430</f>
        <v>404.82</v>
      </c>
    </row>
    <row r="432" spans="1:4" x14ac:dyDescent="0.3">
      <c r="A432" s="20" t="str">
        <f>ORÇAMENTO!A129</f>
        <v>15.2</v>
      </c>
      <c r="B432" s="21" t="str">
        <f>ORÇAMENTO!D129</f>
        <v xml:space="preserve">PISO CONCRETO DESEMPENADO ESPESSURA = 5 CM 1:2,5:3,5 </v>
      </c>
      <c r="C432" s="39" t="str">
        <f>ORÇAMENTO!F129</f>
        <v xml:space="preserve">m2 </v>
      </c>
      <c r="D432" s="43" t="s">
        <v>415</v>
      </c>
    </row>
    <row r="433" spans="1:4" s="202" customFormat="1" x14ac:dyDescent="0.3">
      <c r="A433" s="107" t="s">
        <v>80</v>
      </c>
      <c r="B433" s="111" t="s">
        <v>417</v>
      </c>
      <c r="C433" s="112" t="s">
        <v>33</v>
      </c>
      <c r="D433" s="112">
        <v>607.82000000000005</v>
      </c>
    </row>
    <row r="434" spans="1:4" s="202" customFormat="1" x14ac:dyDescent="0.3">
      <c r="A434" s="107" t="s">
        <v>81</v>
      </c>
      <c r="B434" s="111" t="s">
        <v>418</v>
      </c>
      <c r="C434" s="112" t="s">
        <v>33</v>
      </c>
      <c r="D434" s="112">
        <v>87.96</v>
      </c>
    </row>
    <row r="435" spans="1:4" ht="15" thickBot="1" x14ac:dyDescent="0.35">
      <c r="A435" s="146" t="s">
        <v>419</v>
      </c>
      <c r="B435" s="147"/>
      <c r="C435" s="148"/>
      <c r="D435" s="12">
        <f>SUM(D433:D434)</f>
        <v>695.78000000000009</v>
      </c>
    </row>
    <row r="436" spans="1:4" s="283" customFormat="1" x14ac:dyDescent="0.3">
      <c r="A436" s="29" t="str">
        <f>ORÇAMENTO!A130</f>
        <v>15.3</v>
      </c>
      <c r="B436" s="30" t="str">
        <f>ORÇAMENTO!D130</f>
        <v>LASTRO DE BRITA PARA PISO - (OBRAS CIVIS)</v>
      </c>
      <c r="C436" s="31" t="str">
        <f>ORÇAMENTO!F130</f>
        <v>m3</v>
      </c>
      <c r="D436" s="32" t="s">
        <v>122</v>
      </c>
    </row>
    <row r="437" spans="1:4" x14ac:dyDescent="0.3">
      <c r="A437" s="26" t="s">
        <v>80</v>
      </c>
      <c r="B437" s="15" t="s">
        <v>375</v>
      </c>
      <c r="C437" s="16"/>
      <c r="D437" s="17"/>
    </row>
    <row r="438" spans="1:4" x14ac:dyDescent="0.3">
      <c r="A438" s="26"/>
      <c r="B438" s="15" t="s">
        <v>373</v>
      </c>
      <c r="C438" s="25" t="s">
        <v>40</v>
      </c>
      <c r="D438" s="26">
        <v>2</v>
      </c>
    </row>
    <row r="439" spans="1:4" x14ac:dyDescent="0.3">
      <c r="A439" s="26"/>
      <c r="B439" s="15" t="s">
        <v>391</v>
      </c>
      <c r="C439" s="25" t="s">
        <v>33</v>
      </c>
      <c r="D439" s="26">
        <f>18*9</f>
        <v>162</v>
      </c>
    </row>
    <row r="440" spans="1:4" x14ac:dyDescent="0.3">
      <c r="A440" s="36"/>
      <c r="B440" s="15" t="s">
        <v>376</v>
      </c>
      <c r="C440" s="25" t="s">
        <v>163</v>
      </c>
      <c r="D440" s="26">
        <v>0.1</v>
      </c>
    </row>
    <row r="441" spans="1:4" ht="15" thickBot="1" x14ac:dyDescent="0.35">
      <c r="A441" s="146" t="s">
        <v>91</v>
      </c>
      <c r="B441" s="147"/>
      <c r="C441" s="148"/>
      <c r="D441" s="12">
        <f>D438*D439*D440</f>
        <v>32.4</v>
      </c>
    </row>
    <row r="442" spans="1:4" ht="26.4" x14ac:dyDescent="0.3">
      <c r="A442" s="20" t="str">
        <f>ORÇAMENTO!A131</f>
        <v>15.4</v>
      </c>
      <c r="B442" s="21" t="str">
        <f>ORÇAMENTO!D131</f>
        <v>PISO DE LADRILHO HIDRÁULICO COLORIDO MODELO TÁTIL ( ALERTA OU DIRECIONAL) SEM LASTRO</v>
      </c>
      <c r="C442" s="39" t="str">
        <f>ORÇAMENTO!F131</f>
        <v>m2</v>
      </c>
      <c r="D442" s="43" t="s">
        <v>110</v>
      </c>
    </row>
    <row r="443" spans="1:4" x14ac:dyDescent="0.3">
      <c r="A443" s="9"/>
      <c r="B443" s="15" t="s">
        <v>423</v>
      </c>
      <c r="C443" s="37" t="s">
        <v>40</v>
      </c>
      <c r="D443" s="26">
        <v>3</v>
      </c>
    </row>
    <row r="444" spans="1:4" x14ac:dyDescent="0.3">
      <c r="A444" s="9"/>
      <c r="B444" s="18" t="s">
        <v>424</v>
      </c>
      <c r="C444" s="37" t="s">
        <v>33</v>
      </c>
      <c r="D444" s="26">
        <f>1.2*0.25</f>
        <v>0.3</v>
      </c>
    </row>
    <row r="445" spans="1:4" ht="15" thickBot="1" x14ac:dyDescent="0.35">
      <c r="A445" s="146" t="s">
        <v>91</v>
      </c>
      <c r="B445" s="147"/>
      <c r="C445" s="148"/>
      <c r="D445" s="12">
        <f>D444*D443</f>
        <v>0.89999999999999991</v>
      </c>
    </row>
    <row r="446" spans="1:4" x14ac:dyDescent="0.3">
      <c r="A446" s="20" t="str">
        <f>ORÇAMENTO!A132</f>
        <v>15.5</v>
      </c>
      <c r="B446" s="21" t="str">
        <f>ORÇAMENTO!D132</f>
        <v xml:space="preserve">REVESTIMENTO COM PLACA CIMENTÍCIA </v>
      </c>
      <c r="C446" s="39" t="str">
        <f>ORÇAMENTO!F132</f>
        <v>m2</v>
      </c>
      <c r="D446" s="43" t="s">
        <v>110</v>
      </c>
    </row>
    <row r="447" spans="1:4" x14ac:dyDescent="0.3">
      <c r="A447" s="9"/>
      <c r="B447" s="15" t="s">
        <v>425</v>
      </c>
      <c r="C447" s="37" t="s">
        <v>33</v>
      </c>
      <c r="D447" s="26">
        <v>550.05999999999995</v>
      </c>
    </row>
    <row r="448" spans="1:4" ht="15" thickBot="1" x14ac:dyDescent="0.35">
      <c r="A448" s="146" t="s">
        <v>91</v>
      </c>
      <c r="B448" s="147"/>
      <c r="C448" s="148"/>
      <c r="D448" s="12">
        <f>D447</f>
        <v>550.05999999999995</v>
      </c>
    </row>
    <row r="449" spans="1:4" ht="15" thickBot="1" x14ac:dyDescent="0.35">
      <c r="A449" s="3">
        <f>ORÇAMENTO!A135</f>
        <v>16</v>
      </c>
      <c r="B449" s="4" t="str">
        <f>ORÇAMENTO!D135</f>
        <v>FERRAGENS</v>
      </c>
      <c r="C449" s="5"/>
      <c r="D449" s="5"/>
    </row>
    <row r="450" spans="1:4" ht="15" customHeight="1" thickBot="1" x14ac:dyDescent="0.35">
      <c r="A450" s="6" t="s">
        <v>1</v>
      </c>
      <c r="B450" s="6" t="s">
        <v>65</v>
      </c>
      <c r="C450" s="6" t="s">
        <v>66</v>
      </c>
      <c r="D450" s="6" t="s">
        <v>67</v>
      </c>
    </row>
    <row r="451" spans="1:4" x14ac:dyDescent="0.3">
      <c r="A451" s="20" t="str">
        <f>ORÇAMENTO!A136</f>
        <v>16.1</v>
      </c>
      <c r="B451" s="301" t="str">
        <f>ORÇAMENTO!D136</f>
        <v xml:space="preserve">ARRUELA LISA D=5/16" </v>
      </c>
      <c r="C451" s="39" t="str">
        <f>ORÇAMENTO!F136</f>
        <v xml:space="preserve">un </v>
      </c>
      <c r="D451" s="43" t="s">
        <v>30</v>
      </c>
    </row>
    <row r="452" spans="1:4" x14ac:dyDescent="0.3">
      <c r="A452" s="20"/>
      <c r="B452" s="15" t="s">
        <v>289</v>
      </c>
      <c r="C452" s="37"/>
      <c r="D452" s="26">
        <f>24*3</f>
        <v>72</v>
      </c>
    </row>
    <row r="453" spans="1:4" ht="15" thickBot="1" x14ac:dyDescent="0.35">
      <c r="A453" s="146" t="s">
        <v>91</v>
      </c>
      <c r="B453" s="147"/>
      <c r="C453" s="148"/>
      <c r="D453" s="12">
        <f>D452</f>
        <v>72</v>
      </c>
    </row>
    <row r="454" spans="1:4" x14ac:dyDescent="0.3">
      <c r="A454" s="20" t="str">
        <f>ORÇAMENTO!A137</f>
        <v>16.2</v>
      </c>
      <c r="B454" s="301" t="str">
        <f>ORÇAMENTO!D137</f>
        <v xml:space="preserve">PORCA SEXTAVADA D = 5/16" </v>
      </c>
      <c r="C454" s="39" t="str">
        <f>ORÇAMENTO!F137</f>
        <v xml:space="preserve">un </v>
      </c>
      <c r="D454" s="43" t="s">
        <v>30</v>
      </c>
    </row>
    <row r="455" spans="1:4" x14ac:dyDescent="0.3">
      <c r="A455" s="20"/>
      <c r="B455" s="15" t="s">
        <v>289</v>
      </c>
      <c r="C455" s="37"/>
      <c r="D455" s="26">
        <f>12*3</f>
        <v>36</v>
      </c>
    </row>
    <row r="456" spans="1:4" ht="15" thickBot="1" x14ac:dyDescent="0.35">
      <c r="A456" s="146" t="s">
        <v>91</v>
      </c>
      <c r="B456" s="147"/>
      <c r="C456" s="148"/>
      <c r="D456" s="12">
        <f>D455</f>
        <v>36</v>
      </c>
    </row>
    <row r="457" spans="1:4" x14ac:dyDescent="0.3">
      <c r="A457" s="20" t="str">
        <f>ORÇAMENTO!A138</f>
        <v>16.3</v>
      </c>
      <c r="B457" s="301" t="str">
        <f>ORÇAMENTO!D138</f>
        <v>PARAFUSO ZINCADO ROSCA SOBERBA, CABECA SEXTAVADA, 5/16 " X 250 MM, PARA FIXACAO DE TELHA EM MADEIRA</v>
      </c>
      <c r="C457" s="39" t="str">
        <f>ORÇAMENTO!F138</f>
        <v xml:space="preserve"> UN </v>
      </c>
      <c r="D457" s="43" t="s">
        <v>30</v>
      </c>
    </row>
    <row r="458" spans="1:4" x14ac:dyDescent="0.3">
      <c r="A458" s="20"/>
      <c r="B458" s="15" t="s">
        <v>289</v>
      </c>
      <c r="C458" s="37"/>
      <c r="D458" s="26">
        <f>12*3</f>
        <v>36</v>
      </c>
    </row>
    <row r="459" spans="1:4" ht="15" thickBot="1" x14ac:dyDescent="0.35">
      <c r="A459" s="146" t="s">
        <v>91</v>
      </c>
      <c r="B459" s="147"/>
      <c r="C459" s="148"/>
      <c r="D459" s="12">
        <f>D458</f>
        <v>36</v>
      </c>
    </row>
    <row r="460" spans="1:4" ht="15" thickBot="1" x14ac:dyDescent="0.35">
      <c r="A460" s="3">
        <f>ORÇAMENTO!A141</f>
        <v>17</v>
      </c>
      <c r="B460" s="4" t="s">
        <v>26</v>
      </c>
      <c r="C460" s="5"/>
      <c r="D460" s="5"/>
    </row>
    <row r="461" spans="1:4" ht="15" customHeight="1" thickBot="1" x14ac:dyDescent="0.35">
      <c r="A461" s="6" t="s">
        <v>1</v>
      </c>
      <c r="B461" s="6" t="s">
        <v>65</v>
      </c>
      <c r="C461" s="6" t="s">
        <v>66</v>
      </c>
      <c r="D461" s="6" t="s">
        <v>67</v>
      </c>
    </row>
    <row r="462" spans="1:4" x14ac:dyDescent="0.3">
      <c r="A462" s="20" t="str">
        <f>ORÇAMENTO!A142</f>
        <v>17.1</v>
      </c>
      <c r="B462" s="301" t="str">
        <f>ORÇAMENTO!D142</f>
        <v xml:space="preserve">ENGENHEIRO - (OBRAS CIVIS) </v>
      </c>
      <c r="C462" s="39" t="str">
        <f>ORÇAMENTO!F142</f>
        <v xml:space="preserve">H </v>
      </c>
      <c r="D462" s="43" t="s">
        <v>351</v>
      </c>
    </row>
    <row r="463" spans="1:4" x14ac:dyDescent="0.3">
      <c r="A463" s="20"/>
      <c r="B463" s="15" t="s">
        <v>362</v>
      </c>
      <c r="C463" s="37" t="s">
        <v>364</v>
      </c>
      <c r="D463" s="26">
        <v>1</v>
      </c>
    </row>
    <row r="464" spans="1:4" x14ac:dyDescent="0.3">
      <c r="A464" s="9"/>
      <c r="B464" s="15" t="s">
        <v>363</v>
      </c>
      <c r="C464" s="37" t="s">
        <v>365</v>
      </c>
      <c r="D464" s="26">
        <f>20*5</f>
        <v>100</v>
      </c>
    </row>
    <row r="465" spans="1:4" ht="15" thickBot="1" x14ac:dyDescent="0.35">
      <c r="A465" s="146" t="s">
        <v>91</v>
      </c>
      <c r="B465" s="147"/>
      <c r="C465" s="148"/>
      <c r="D465" s="12">
        <f>D464*D463</f>
        <v>100</v>
      </c>
    </row>
    <row r="466" spans="1:4" x14ac:dyDescent="0.3">
      <c r="A466" s="20" t="str">
        <f>ORÇAMENTO!A143</f>
        <v>17.2</v>
      </c>
      <c r="B466" s="301" t="str">
        <f>ORÇAMENTO!D143</f>
        <v xml:space="preserve">MESTRE DE OBRA - (OBRAS CIVIS) </v>
      </c>
      <c r="C466" s="39" t="str">
        <f>ORÇAMENTO!F143</f>
        <v xml:space="preserve">H </v>
      </c>
      <c r="D466" s="43" t="s">
        <v>351</v>
      </c>
    </row>
    <row r="467" spans="1:4" x14ac:dyDescent="0.3">
      <c r="A467" s="20"/>
      <c r="B467" s="15" t="s">
        <v>362</v>
      </c>
      <c r="C467" s="37" t="s">
        <v>364</v>
      </c>
      <c r="D467" s="26">
        <v>7</v>
      </c>
    </row>
    <row r="468" spans="1:4" x14ac:dyDescent="0.3">
      <c r="A468" s="9"/>
      <c r="B468" s="15" t="s">
        <v>363</v>
      </c>
      <c r="C468" s="37" t="s">
        <v>365</v>
      </c>
      <c r="D468" s="26">
        <f>20*5</f>
        <v>100</v>
      </c>
    </row>
    <row r="469" spans="1:4" ht="15" thickBot="1" x14ac:dyDescent="0.35">
      <c r="A469" s="146" t="s">
        <v>91</v>
      </c>
      <c r="B469" s="147"/>
      <c r="C469" s="148"/>
      <c r="D469" s="12">
        <f>D468*D467</f>
        <v>700</v>
      </c>
    </row>
    <row r="470" spans="1:4" ht="15" thickBot="1" x14ac:dyDescent="0.35">
      <c r="A470" s="3">
        <f>ORÇAMENTO!A146</f>
        <v>18</v>
      </c>
      <c r="B470" s="4" t="s">
        <v>27</v>
      </c>
      <c r="C470" s="5"/>
      <c r="D470" s="5"/>
    </row>
    <row r="471" spans="1:4" ht="15" thickBot="1" x14ac:dyDescent="0.35">
      <c r="A471" s="6" t="s">
        <v>1</v>
      </c>
      <c r="B471" s="6" t="s">
        <v>65</v>
      </c>
      <c r="C471" s="6" t="s">
        <v>66</v>
      </c>
      <c r="D471" s="6" t="s">
        <v>67</v>
      </c>
    </row>
    <row r="472" spans="1:4" x14ac:dyDescent="0.3">
      <c r="A472" s="20" t="str">
        <f>ORÇAMENTO!A147</f>
        <v>18.1</v>
      </c>
      <c r="B472" s="21" t="str">
        <f>ORÇAMENTO!D147</f>
        <v xml:space="preserve">PINTURA VERNIZ EM MADEIRA 2 DEMAOS </v>
      </c>
      <c r="C472" s="39" t="str">
        <f>ORÇAMENTO!F147</f>
        <v xml:space="preserve">m2 </v>
      </c>
      <c r="D472" s="43" t="s">
        <v>110</v>
      </c>
    </row>
    <row r="473" spans="1:4" x14ac:dyDescent="0.3">
      <c r="A473" s="36" t="s">
        <v>80</v>
      </c>
      <c r="B473" s="15" t="s">
        <v>289</v>
      </c>
      <c r="C473" s="16"/>
      <c r="D473" s="28"/>
    </row>
    <row r="474" spans="1:4" x14ac:dyDescent="0.3">
      <c r="A474" s="36"/>
      <c r="B474" s="15" t="s">
        <v>159</v>
      </c>
      <c r="C474" s="16" t="s">
        <v>40</v>
      </c>
      <c r="D474" s="28">
        <v>3</v>
      </c>
    </row>
    <row r="475" spans="1:4" x14ac:dyDescent="0.3">
      <c r="A475" s="36"/>
      <c r="B475" s="15" t="s">
        <v>290</v>
      </c>
      <c r="C475" s="16" t="s">
        <v>163</v>
      </c>
      <c r="D475" s="37">
        <f>3*3</f>
        <v>9</v>
      </c>
    </row>
    <row r="476" spans="1:4" x14ac:dyDescent="0.3">
      <c r="A476" s="36"/>
      <c r="B476" s="15" t="s">
        <v>366</v>
      </c>
      <c r="C476" s="16" t="s">
        <v>163</v>
      </c>
      <c r="D476" s="37">
        <f>0.16+0.06+0.16+0.06</f>
        <v>0.44</v>
      </c>
    </row>
    <row r="477" spans="1:4" x14ac:dyDescent="0.3">
      <c r="A477" s="149" t="s">
        <v>161</v>
      </c>
      <c r="B477" s="150"/>
      <c r="C477" s="150"/>
      <c r="D477" s="33">
        <f>D476*D475*D474</f>
        <v>11.879999999999999</v>
      </c>
    </row>
    <row r="478" spans="1:4" x14ac:dyDescent="0.3">
      <c r="A478" s="36" t="s">
        <v>80</v>
      </c>
      <c r="B478" s="15" t="s">
        <v>289</v>
      </c>
      <c r="C478" s="16"/>
      <c r="D478" s="28"/>
    </row>
    <row r="479" spans="1:4" x14ac:dyDescent="0.3">
      <c r="A479" s="36"/>
      <c r="B479" s="15" t="s">
        <v>159</v>
      </c>
      <c r="C479" s="16" t="s">
        <v>40</v>
      </c>
      <c r="D479" s="28">
        <v>3</v>
      </c>
    </row>
    <row r="480" spans="1:4" x14ac:dyDescent="0.3">
      <c r="A480" s="36"/>
      <c r="B480" s="15" t="s">
        <v>291</v>
      </c>
      <c r="C480" s="16" t="s">
        <v>40</v>
      </c>
      <c r="D480" s="37">
        <v>6</v>
      </c>
    </row>
    <row r="481" spans="1:4" x14ac:dyDescent="0.3">
      <c r="A481" s="36"/>
      <c r="B481" s="15" t="s">
        <v>292</v>
      </c>
      <c r="C481" s="16" t="s">
        <v>163</v>
      </c>
      <c r="D481" s="37">
        <v>3</v>
      </c>
    </row>
    <row r="482" spans="1:4" x14ac:dyDescent="0.3">
      <c r="A482" s="36"/>
      <c r="B482" s="15" t="s">
        <v>366</v>
      </c>
      <c r="C482" s="16" t="s">
        <v>163</v>
      </c>
      <c r="D482" s="37">
        <f>0.15+0.15+0.15+0.15</f>
        <v>0.6</v>
      </c>
    </row>
    <row r="483" spans="1:4" x14ac:dyDescent="0.3">
      <c r="A483" s="149" t="s">
        <v>161</v>
      </c>
      <c r="B483" s="150"/>
      <c r="C483" s="150"/>
      <c r="D483" s="33">
        <f>D482*D481*D480*D479</f>
        <v>32.4</v>
      </c>
    </row>
    <row r="484" spans="1:4" ht="15" thickBot="1" x14ac:dyDescent="0.35">
      <c r="A484" s="146" t="s">
        <v>91</v>
      </c>
      <c r="B484" s="147"/>
      <c r="C484" s="148"/>
      <c r="D484" s="12">
        <f>D483+D477</f>
        <v>44.28</v>
      </c>
    </row>
    <row r="485" spans="1:4" x14ac:dyDescent="0.3">
      <c r="A485" s="20" t="str">
        <f>ORÇAMENTO!A148</f>
        <v>18.2</v>
      </c>
      <c r="B485" s="21" t="str">
        <f>ORÇAMENTO!D148</f>
        <v xml:space="preserve">PINTURA C/VERNIZ ACRILICO-02 DEMAOS </v>
      </c>
      <c r="C485" s="39" t="str">
        <f>ORÇAMENTO!F148</f>
        <v xml:space="preserve">m2 </v>
      </c>
      <c r="D485" s="26"/>
    </row>
    <row r="486" spans="1:4" x14ac:dyDescent="0.3">
      <c r="A486" s="36" t="s">
        <v>80</v>
      </c>
      <c r="B486" s="15" t="s">
        <v>227</v>
      </c>
      <c r="C486" s="16"/>
      <c r="D486" s="28"/>
    </row>
    <row r="487" spans="1:4" x14ac:dyDescent="0.3">
      <c r="A487" s="36"/>
      <c r="B487" s="15" t="s">
        <v>228</v>
      </c>
      <c r="C487" s="16" t="s">
        <v>40</v>
      </c>
      <c r="D487" s="28">
        <v>6</v>
      </c>
    </row>
    <row r="488" spans="1:4" x14ac:dyDescent="0.3">
      <c r="A488" s="36"/>
      <c r="B488" s="15" t="s">
        <v>369</v>
      </c>
      <c r="C488" s="16" t="s">
        <v>10</v>
      </c>
      <c r="D488" s="37">
        <f>0.38*1.3*4+0.05*1.3*4+1.3*1.3</f>
        <v>3.9260000000000002</v>
      </c>
    </row>
    <row r="489" spans="1:4" x14ac:dyDescent="0.3">
      <c r="A489" s="149" t="s">
        <v>161</v>
      </c>
      <c r="B489" s="150"/>
      <c r="C489" s="150"/>
      <c r="D489" s="33">
        <f>D488*D487</f>
        <v>23.556000000000001</v>
      </c>
    </row>
    <row r="490" spans="1:4" x14ac:dyDescent="0.3">
      <c r="A490" s="36" t="s">
        <v>81</v>
      </c>
      <c r="B490" s="15" t="s">
        <v>275</v>
      </c>
      <c r="C490" s="16"/>
      <c r="D490" s="28"/>
    </row>
    <row r="491" spans="1:4" x14ac:dyDescent="0.3">
      <c r="A491" s="36"/>
      <c r="B491" s="15" t="s">
        <v>228</v>
      </c>
      <c r="C491" s="16" t="s">
        <v>40</v>
      </c>
      <c r="D491" s="28">
        <v>3</v>
      </c>
    </row>
    <row r="492" spans="1:4" x14ac:dyDescent="0.3">
      <c r="A492" s="36"/>
      <c r="B492" s="15" t="s">
        <v>369</v>
      </c>
      <c r="C492" s="16" t="s">
        <v>10</v>
      </c>
      <c r="D492" s="37">
        <f>0.71*1.3*4</f>
        <v>3.6919999999999997</v>
      </c>
    </row>
    <row r="493" spans="1:4" x14ac:dyDescent="0.3">
      <c r="A493" s="149" t="s">
        <v>161</v>
      </c>
      <c r="B493" s="150"/>
      <c r="C493" s="150"/>
      <c r="D493" s="33">
        <f>D492*D491</f>
        <v>11.075999999999999</v>
      </c>
    </row>
    <row r="494" spans="1:4" x14ac:dyDescent="0.3">
      <c r="A494" s="36" t="s">
        <v>82</v>
      </c>
      <c r="B494" s="15" t="s">
        <v>153</v>
      </c>
      <c r="C494" s="16"/>
      <c r="D494" s="28"/>
    </row>
    <row r="495" spans="1:4" x14ac:dyDescent="0.3">
      <c r="A495" s="36"/>
      <c r="B495" s="15" t="s">
        <v>257</v>
      </c>
      <c r="C495" s="16" t="s">
        <v>40</v>
      </c>
      <c r="D495" s="28">
        <v>5</v>
      </c>
    </row>
    <row r="496" spans="1:4" x14ac:dyDescent="0.3">
      <c r="A496" s="36"/>
      <c r="B496" s="15" t="s">
        <v>368</v>
      </c>
      <c r="C496" s="16" t="s">
        <v>163</v>
      </c>
      <c r="D496" s="37">
        <f>(0.4*4*2.8)</f>
        <v>4.4799999999999995</v>
      </c>
    </row>
    <row r="497" spans="1:4" x14ac:dyDescent="0.3">
      <c r="A497" s="149" t="s">
        <v>161</v>
      </c>
      <c r="B497" s="150"/>
      <c r="C497" s="150"/>
      <c r="D497" s="33">
        <f>D496*D495</f>
        <v>22.4</v>
      </c>
    </row>
    <row r="498" spans="1:4" ht="15" thickBot="1" x14ac:dyDescent="0.35">
      <c r="A498" s="146" t="s">
        <v>91</v>
      </c>
      <c r="B498" s="147"/>
      <c r="C498" s="148"/>
      <c r="D498" s="12">
        <f>D493+D489+D497</f>
        <v>57.031999999999996</v>
      </c>
    </row>
    <row r="499" spans="1:4" x14ac:dyDescent="0.3">
      <c r="A499" s="20" t="str">
        <f>ORÇAMENTO!A149</f>
        <v>18.3</v>
      </c>
      <c r="B499" s="21" t="str">
        <f>ORÇAMENTO!D149</f>
        <v xml:space="preserve">PINTURA ESMALTE ALQUIDICO ESTR.METALICA 2 DEMAOS </v>
      </c>
      <c r="C499" s="24" t="str">
        <f>ORÇAMENTO!F149</f>
        <v xml:space="preserve">m2 </v>
      </c>
      <c r="D499" s="26"/>
    </row>
    <row r="500" spans="1:4" x14ac:dyDescent="0.3">
      <c r="A500" s="9"/>
      <c r="B500" s="15" t="s">
        <v>295</v>
      </c>
      <c r="C500" s="22"/>
      <c r="D500" s="16"/>
    </row>
    <row r="501" spans="1:4" x14ac:dyDescent="0.3">
      <c r="A501" s="9" t="s">
        <v>80</v>
      </c>
      <c r="B501" s="15" t="s">
        <v>296</v>
      </c>
      <c r="C501" s="22"/>
      <c r="D501" s="16"/>
    </row>
    <row r="502" spans="1:4" x14ac:dyDescent="0.3">
      <c r="A502" s="20"/>
      <c r="B502" s="15" t="s">
        <v>297</v>
      </c>
      <c r="C502" s="16" t="s">
        <v>40</v>
      </c>
      <c r="D502" s="17">
        <v>5</v>
      </c>
    </row>
    <row r="503" spans="1:4" x14ac:dyDescent="0.3">
      <c r="A503" s="20"/>
      <c r="B503" s="15" t="s">
        <v>298</v>
      </c>
      <c r="C503" s="16" t="s">
        <v>163</v>
      </c>
      <c r="D503" s="17">
        <v>3.8</v>
      </c>
    </row>
    <row r="504" spans="1:4" x14ac:dyDescent="0.3">
      <c r="A504" s="20"/>
      <c r="B504" s="48" t="s">
        <v>367</v>
      </c>
      <c r="C504" s="16" t="s">
        <v>163</v>
      </c>
      <c r="D504" s="33">
        <f>0.2+0.2+0.08+0.08</f>
        <v>0.56000000000000005</v>
      </c>
    </row>
    <row r="505" spans="1:4" x14ac:dyDescent="0.3">
      <c r="A505" s="149" t="s">
        <v>161</v>
      </c>
      <c r="B505" s="150"/>
      <c r="C505" s="150"/>
      <c r="D505" s="33">
        <f>D503*D502*D504</f>
        <v>10.64</v>
      </c>
    </row>
    <row r="506" spans="1:4" x14ac:dyDescent="0.3">
      <c r="A506" s="9" t="s">
        <v>81</v>
      </c>
      <c r="B506" s="15" t="s">
        <v>299</v>
      </c>
      <c r="C506" s="22"/>
      <c r="D506" s="17"/>
    </row>
    <row r="507" spans="1:4" x14ac:dyDescent="0.3">
      <c r="A507" s="20"/>
      <c r="B507" s="15" t="s">
        <v>297</v>
      </c>
      <c r="C507" s="16" t="s">
        <v>40</v>
      </c>
      <c r="D507" s="17">
        <v>2</v>
      </c>
    </row>
    <row r="508" spans="1:4" x14ac:dyDescent="0.3">
      <c r="A508" s="20"/>
      <c r="B508" s="15" t="s">
        <v>298</v>
      </c>
      <c r="C508" s="16" t="s">
        <v>163</v>
      </c>
      <c r="D508" s="17">
        <v>4</v>
      </c>
    </row>
    <row r="509" spans="1:4" x14ac:dyDescent="0.3">
      <c r="A509" s="20"/>
      <c r="B509" s="48" t="s">
        <v>367</v>
      </c>
      <c r="C509" s="16" t="s">
        <v>163</v>
      </c>
      <c r="D509" s="33">
        <f>0.2+0.2+0.08+0.08</f>
        <v>0.56000000000000005</v>
      </c>
    </row>
    <row r="510" spans="1:4" x14ac:dyDescent="0.3">
      <c r="A510" s="149" t="s">
        <v>161</v>
      </c>
      <c r="B510" s="150"/>
      <c r="C510" s="150"/>
      <c r="D510" s="33">
        <f>D508*D507*D509</f>
        <v>4.4800000000000004</v>
      </c>
    </row>
    <row r="511" spans="1:4" x14ac:dyDescent="0.3">
      <c r="A511" s="9" t="s">
        <v>82</v>
      </c>
      <c r="B511" s="15" t="s">
        <v>300</v>
      </c>
      <c r="C511" s="22"/>
      <c r="D511" s="17"/>
    </row>
    <row r="512" spans="1:4" x14ac:dyDescent="0.3">
      <c r="A512" s="20"/>
      <c r="B512" s="15" t="s">
        <v>297</v>
      </c>
      <c r="C512" s="16" t="s">
        <v>40</v>
      </c>
      <c r="D512" s="17">
        <v>7</v>
      </c>
    </row>
    <row r="513" spans="1:4" x14ac:dyDescent="0.3">
      <c r="A513" s="20"/>
      <c r="B513" s="15" t="s">
        <v>298</v>
      </c>
      <c r="C513" s="16" t="s">
        <v>163</v>
      </c>
      <c r="D513" s="17">
        <v>2.8</v>
      </c>
    </row>
    <row r="514" spans="1:4" x14ac:dyDescent="0.3">
      <c r="A514" s="20"/>
      <c r="B514" s="48" t="s">
        <v>367</v>
      </c>
      <c r="C514" s="16" t="s">
        <v>163</v>
      </c>
      <c r="D514" s="33">
        <f>0.2+0.2+0.08+0.08</f>
        <v>0.56000000000000005</v>
      </c>
    </row>
    <row r="515" spans="1:4" x14ac:dyDescent="0.3">
      <c r="A515" s="149" t="s">
        <v>161</v>
      </c>
      <c r="B515" s="150"/>
      <c r="C515" s="150"/>
      <c r="D515" s="33">
        <f>D513*D512*D514</f>
        <v>10.975999999999999</v>
      </c>
    </row>
    <row r="516" spans="1:4" x14ac:dyDescent="0.3">
      <c r="A516" s="36" t="s">
        <v>231</v>
      </c>
      <c r="B516" s="15" t="s">
        <v>451</v>
      </c>
      <c r="C516" s="16" t="s">
        <v>10</v>
      </c>
      <c r="D516" s="28">
        <f>84.72*1.1</f>
        <v>93.192000000000007</v>
      </c>
    </row>
    <row r="517" spans="1:4" x14ac:dyDescent="0.3">
      <c r="A517" s="36"/>
      <c r="B517" s="15" t="s">
        <v>452</v>
      </c>
      <c r="C517" s="16" t="s">
        <v>10</v>
      </c>
      <c r="D517" s="28">
        <f>18.94*1.1</f>
        <v>20.834000000000003</v>
      </c>
    </row>
    <row r="518" spans="1:4" x14ac:dyDescent="0.3">
      <c r="A518" s="149" t="s">
        <v>161</v>
      </c>
      <c r="B518" s="150"/>
      <c r="C518" s="150"/>
      <c r="D518" s="33">
        <f>(D516+D517)*2</f>
        <v>228.05200000000002</v>
      </c>
    </row>
    <row r="519" spans="1:4" x14ac:dyDescent="0.3">
      <c r="A519" s="36" t="s">
        <v>381</v>
      </c>
      <c r="B519" s="15" t="s">
        <v>453</v>
      </c>
      <c r="C519" s="16" t="s">
        <v>163</v>
      </c>
      <c r="D519" s="28">
        <v>2.5</v>
      </c>
    </row>
    <row r="520" spans="1:4" x14ac:dyDescent="0.3">
      <c r="A520" s="149" t="s">
        <v>161</v>
      </c>
      <c r="B520" s="150"/>
      <c r="C520" s="150"/>
      <c r="D520" s="33">
        <f>D519*2</f>
        <v>5</v>
      </c>
    </row>
    <row r="521" spans="1:4" ht="17.25" customHeight="1" thickBot="1" x14ac:dyDescent="0.35">
      <c r="A521" s="146" t="s">
        <v>91</v>
      </c>
      <c r="B521" s="147"/>
      <c r="C521" s="148"/>
      <c r="D521" s="12">
        <f>D515+D510+D505+D518+D520</f>
        <v>259.14800000000002</v>
      </c>
    </row>
    <row r="522" spans="1:4" x14ac:dyDescent="0.3">
      <c r="A522" s="20" t="str">
        <f>ORÇAMENTO!A150</f>
        <v>18.4</v>
      </c>
      <c r="B522" s="21" t="str">
        <f>ORÇAMENTO!D150</f>
        <v xml:space="preserve">PINT.POLIESPORTIVA - 2 DEM.(PISOS E CIMENTADOS) </v>
      </c>
      <c r="C522" s="24" t="str">
        <f>ORÇAMENTO!F150</f>
        <v xml:space="preserve">m2 </v>
      </c>
      <c r="D522" s="26" t="s">
        <v>110</v>
      </c>
    </row>
    <row r="523" spans="1:4" s="202" customFormat="1" x14ac:dyDescent="0.3">
      <c r="A523" s="107" t="s">
        <v>80</v>
      </c>
      <c r="B523" s="111" t="s">
        <v>417</v>
      </c>
      <c r="C523" s="112" t="s">
        <v>33</v>
      </c>
      <c r="D523" s="112">
        <v>607.82000000000005</v>
      </c>
    </row>
    <row r="524" spans="1:4" s="202" customFormat="1" x14ac:dyDescent="0.3">
      <c r="A524" s="107" t="s">
        <v>81</v>
      </c>
      <c r="B524" s="111" t="s">
        <v>418</v>
      </c>
      <c r="C524" s="112" t="s">
        <v>33</v>
      </c>
      <c r="D524" s="112">
        <v>87.96</v>
      </c>
    </row>
    <row r="525" spans="1:4" ht="15" thickBot="1" x14ac:dyDescent="0.35">
      <c r="A525" s="146" t="s">
        <v>91</v>
      </c>
      <c r="B525" s="147"/>
      <c r="C525" s="148"/>
      <c r="D525" s="12">
        <f>SUM(D523:D524)</f>
        <v>695.78000000000009</v>
      </c>
    </row>
    <row r="526" spans="1:4" x14ac:dyDescent="0.3">
      <c r="A526" s="20" t="str">
        <f>ORÇAMENTO!A151</f>
        <v>18.5</v>
      </c>
      <c r="B526" s="21" t="str">
        <f>ORÇAMENTO!D151</f>
        <v xml:space="preserve"> EMASSAMENTO ACRÍLICO 1 DEMÃO EM PAREDE</v>
      </c>
      <c r="C526" s="24" t="str">
        <f>ORÇAMENTO!F152</f>
        <v xml:space="preserve">m2 </v>
      </c>
      <c r="D526" s="26"/>
    </row>
    <row r="527" spans="1:4" x14ac:dyDescent="0.3">
      <c r="A527" s="36" t="s">
        <v>80</v>
      </c>
      <c r="B527" s="15" t="s">
        <v>400</v>
      </c>
      <c r="C527" s="16"/>
      <c r="D527" s="28"/>
    </row>
    <row r="528" spans="1:4" x14ac:dyDescent="0.3">
      <c r="A528" s="36"/>
      <c r="B528" s="15" t="s">
        <v>401</v>
      </c>
      <c r="C528" s="16" t="s">
        <v>40</v>
      </c>
      <c r="D528" s="28">
        <v>2</v>
      </c>
    </row>
    <row r="529" spans="1:4" x14ac:dyDescent="0.3">
      <c r="A529" s="36"/>
      <c r="B529" s="15" t="s">
        <v>402</v>
      </c>
      <c r="C529" s="16" t="s">
        <v>163</v>
      </c>
      <c r="D529" s="37">
        <f>(18+18+9+9-2.5-2.5)</f>
        <v>49</v>
      </c>
    </row>
    <row r="530" spans="1:4" x14ac:dyDescent="0.3">
      <c r="A530" s="36"/>
      <c r="B530" s="15" t="s">
        <v>403</v>
      </c>
      <c r="C530" s="16" t="s">
        <v>163</v>
      </c>
      <c r="D530" s="37">
        <v>1.1000000000000001</v>
      </c>
    </row>
    <row r="531" spans="1:4" x14ac:dyDescent="0.3">
      <c r="A531" s="36"/>
      <c r="B531" s="15" t="s">
        <v>281</v>
      </c>
      <c r="C531" s="16"/>
      <c r="D531" s="37">
        <v>2</v>
      </c>
    </row>
    <row r="532" spans="1:4" x14ac:dyDescent="0.3">
      <c r="A532" s="149" t="s">
        <v>161</v>
      </c>
      <c r="B532" s="150"/>
      <c r="C532" s="150"/>
      <c r="D532" s="33">
        <f>D528*D529*D530*D531</f>
        <v>215.60000000000002</v>
      </c>
    </row>
    <row r="533" spans="1:4" x14ac:dyDescent="0.3">
      <c r="A533" s="36" t="s">
        <v>81</v>
      </c>
      <c r="B533" s="15" t="s">
        <v>275</v>
      </c>
      <c r="C533" s="16"/>
      <c r="D533" s="28"/>
    </row>
    <row r="534" spans="1:4" x14ac:dyDescent="0.3">
      <c r="A534" s="36"/>
      <c r="B534" s="15" t="s">
        <v>228</v>
      </c>
      <c r="C534" s="16" t="s">
        <v>40</v>
      </c>
      <c r="D534" s="28">
        <v>3</v>
      </c>
    </row>
    <row r="535" spans="1:4" x14ac:dyDescent="0.3">
      <c r="A535" s="36"/>
      <c r="B535" s="15" t="s">
        <v>369</v>
      </c>
      <c r="C535" s="16" t="s">
        <v>10</v>
      </c>
      <c r="D535" s="37">
        <f>0.4*2.1*2+0.4*2*1.02+0.12*2.1*2+0.12*1.02*2</f>
        <v>3.2448000000000006</v>
      </c>
    </row>
    <row r="536" spans="1:4" x14ac:dyDescent="0.3">
      <c r="A536" s="149" t="s">
        <v>161</v>
      </c>
      <c r="B536" s="150"/>
      <c r="C536" s="150"/>
      <c r="D536" s="33">
        <f>D535*D534</f>
        <v>9.7344000000000008</v>
      </c>
    </row>
    <row r="537" spans="1:4" ht="15" thickBot="1" x14ac:dyDescent="0.35">
      <c r="A537" s="146" t="s">
        <v>91</v>
      </c>
      <c r="B537" s="147"/>
      <c r="C537" s="148"/>
      <c r="D537" s="12">
        <f>D532+D536</f>
        <v>225.33440000000002</v>
      </c>
    </row>
    <row r="538" spans="1:4" x14ac:dyDescent="0.3">
      <c r="A538" s="20" t="str">
        <f>ORÇAMENTO!A152</f>
        <v>18.6</v>
      </c>
      <c r="B538" s="21" t="str">
        <f>ORÇAMENTO!D152</f>
        <v xml:space="preserve">PINTURA LATEX ACRILICO 2 DEMAOS </v>
      </c>
      <c r="C538" s="24" t="str">
        <f>ORÇAMENTO!F152</f>
        <v xml:space="preserve">m2 </v>
      </c>
      <c r="D538" s="26"/>
    </row>
    <row r="539" spans="1:4" x14ac:dyDescent="0.3">
      <c r="A539" s="36" t="s">
        <v>80</v>
      </c>
      <c r="B539" s="15" t="s">
        <v>400</v>
      </c>
      <c r="C539" s="16"/>
      <c r="D539" s="28"/>
    </row>
    <row r="540" spans="1:4" x14ac:dyDescent="0.3">
      <c r="A540" s="36"/>
      <c r="B540" s="15" t="s">
        <v>401</v>
      </c>
      <c r="C540" s="16" t="s">
        <v>40</v>
      </c>
      <c r="D540" s="28">
        <v>2</v>
      </c>
    </row>
    <row r="541" spans="1:4" x14ac:dyDescent="0.3">
      <c r="A541" s="36"/>
      <c r="B541" s="15" t="s">
        <v>402</v>
      </c>
      <c r="C541" s="16" t="s">
        <v>163</v>
      </c>
      <c r="D541" s="37">
        <f>(18+18+9+9-2.5-2.5)</f>
        <v>49</v>
      </c>
    </row>
    <row r="542" spans="1:4" x14ac:dyDescent="0.3">
      <c r="A542" s="36"/>
      <c r="B542" s="15" t="s">
        <v>403</v>
      </c>
      <c r="C542" s="16" t="s">
        <v>163</v>
      </c>
      <c r="D542" s="37">
        <v>1.1000000000000001</v>
      </c>
    </row>
    <row r="543" spans="1:4" x14ac:dyDescent="0.3">
      <c r="A543" s="36"/>
      <c r="B543" s="15" t="s">
        <v>281</v>
      </c>
      <c r="C543" s="16"/>
      <c r="D543" s="37">
        <v>2</v>
      </c>
    </row>
    <row r="544" spans="1:4" x14ac:dyDescent="0.3">
      <c r="A544" s="149" t="s">
        <v>161</v>
      </c>
      <c r="B544" s="150"/>
      <c r="C544" s="150"/>
      <c r="D544" s="33">
        <f>D540*D541*D542*D543</f>
        <v>215.60000000000002</v>
      </c>
    </row>
    <row r="545" spans="1:4" x14ac:dyDescent="0.3">
      <c r="A545" s="36" t="s">
        <v>81</v>
      </c>
      <c r="B545" s="15" t="s">
        <v>275</v>
      </c>
      <c r="C545" s="16"/>
      <c r="D545" s="28"/>
    </row>
    <row r="546" spans="1:4" x14ac:dyDescent="0.3">
      <c r="A546" s="36"/>
      <c r="B546" s="15" t="s">
        <v>228</v>
      </c>
      <c r="C546" s="16" t="s">
        <v>40</v>
      </c>
      <c r="D546" s="28">
        <v>3</v>
      </c>
    </row>
    <row r="547" spans="1:4" x14ac:dyDescent="0.3">
      <c r="A547" s="36"/>
      <c r="B547" s="15" t="s">
        <v>369</v>
      </c>
      <c r="C547" s="16" t="s">
        <v>10</v>
      </c>
      <c r="D547" s="37">
        <f>0.4*2.1*2+0.4*2*1.02+0.12*2.1*2+0.12*1.02*2</f>
        <v>3.2448000000000006</v>
      </c>
    </row>
    <row r="548" spans="1:4" x14ac:dyDescent="0.3">
      <c r="A548" s="149" t="s">
        <v>161</v>
      </c>
      <c r="B548" s="150"/>
      <c r="C548" s="150"/>
      <c r="D548" s="33">
        <f>D547*D546</f>
        <v>9.7344000000000008</v>
      </c>
    </row>
    <row r="549" spans="1:4" ht="15" thickBot="1" x14ac:dyDescent="0.35">
      <c r="A549" s="146" t="s">
        <v>91</v>
      </c>
      <c r="B549" s="147"/>
      <c r="C549" s="148"/>
      <c r="D549" s="12">
        <f>D544+D548</f>
        <v>225.33440000000002</v>
      </c>
    </row>
    <row r="550" spans="1:4" ht="15" thickBot="1" x14ac:dyDescent="0.35">
      <c r="A550" s="3">
        <f>ORÇAMENTO!A155</f>
        <v>19</v>
      </c>
      <c r="B550" s="4" t="s">
        <v>28</v>
      </c>
      <c r="C550" s="5"/>
      <c r="D550" s="5"/>
    </row>
    <row r="551" spans="1:4" ht="15" thickBot="1" x14ac:dyDescent="0.35">
      <c r="A551" s="6" t="s">
        <v>1</v>
      </c>
      <c r="B551" s="6" t="s">
        <v>65</v>
      </c>
      <c r="C551" s="6" t="s">
        <v>66</v>
      </c>
      <c r="D551" s="6" t="s">
        <v>67</v>
      </c>
    </row>
    <row r="552" spans="1:4" s="284" customFormat="1" x14ac:dyDescent="0.3">
      <c r="A552" s="22" t="str">
        <f>ORÇAMENTO!A156</f>
        <v>19.1</v>
      </c>
      <c r="B552" s="302" t="str">
        <f>ORÇAMENTO!D156</f>
        <v>LIMPEZA FINAL DE OBRA - (OBRAS CIVIS)</v>
      </c>
      <c r="C552" s="24" t="str">
        <f>ORÇAMENTO!F156</f>
        <v>m2</v>
      </c>
      <c r="D552" s="43" t="s">
        <v>433</v>
      </c>
    </row>
    <row r="553" spans="1:4" x14ac:dyDescent="0.3">
      <c r="A553" s="20"/>
      <c r="B553" s="15" t="s">
        <v>433</v>
      </c>
      <c r="C553" s="37" t="s">
        <v>33</v>
      </c>
      <c r="D553" s="112">
        <f>ORÇAMENTO!$O$169/1580.1525</f>
        <v>440.01405741633567</v>
      </c>
    </row>
    <row r="554" spans="1:4" ht="15" thickBot="1" x14ac:dyDescent="0.35">
      <c r="A554" s="146" t="s">
        <v>91</v>
      </c>
      <c r="B554" s="147"/>
      <c r="C554" s="148"/>
      <c r="D554" s="12">
        <f>D553</f>
        <v>440.01405741633567</v>
      </c>
    </row>
    <row r="555" spans="1:4" s="284" customFormat="1" ht="27" x14ac:dyDescent="0.3">
      <c r="A555" s="22" t="str">
        <f>ORÇAMENTO!A157</f>
        <v>19.2</v>
      </c>
      <c r="B555" s="302" t="str">
        <f>ORÇAMENTO!D157</f>
        <v xml:space="preserve">PLANTIO GRAMA BATATAIS PLACA C/ M.O. IRRIG.ADUBO,TER.VEG.(OC) A&lt;11.000M2 </v>
      </c>
      <c r="C555" s="24" t="str">
        <f>ORÇAMENTO!F157</f>
        <v xml:space="preserve">m2 </v>
      </c>
      <c r="D555" s="43" t="s">
        <v>110</v>
      </c>
    </row>
    <row r="556" spans="1:4" x14ac:dyDescent="0.3">
      <c r="A556" s="20"/>
      <c r="B556" s="15" t="s">
        <v>440</v>
      </c>
      <c r="C556" s="37" t="s">
        <v>33</v>
      </c>
      <c r="D556" s="26">
        <v>1112</v>
      </c>
    </row>
    <row r="557" spans="1:4" ht="15" thickBot="1" x14ac:dyDescent="0.35">
      <c r="A557" s="146" t="s">
        <v>91</v>
      </c>
      <c r="B557" s="147"/>
      <c r="C557" s="148"/>
      <c r="D557" s="12">
        <f>D556</f>
        <v>1112</v>
      </c>
    </row>
    <row r="558" spans="1:4" ht="27" x14ac:dyDescent="0.3">
      <c r="A558" s="20" t="str">
        <f>ORÇAMENTO!A158</f>
        <v>19.3</v>
      </c>
      <c r="B558" s="302" t="str">
        <f>ORÇAMENTO!D158</f>
        <v>PLANTIO GRAMA ESMERALDA PLACA C/ M.O. IRRIG., ADUBO,TERRA VEGETAL (O.C.) A&lt;11.000,00M2</v>
      </c>
      <c r="C558" s="24" t="str">
        <f>ORÇAMENTO!F158</f>
        <v xml:space="preserve">m2 </v>
      </c>
      <c r="D558" s="43" t="s">
        <v>110</v>
      </c>
    </row>
    <row r="559" spans="1:4" x14ac:dyDescent="0.3">
      <c r="A559" s="20"/>
      <c r="B559" s="15" t="s">
        <v>434</v>
      </c>
      <c r="C559" s="37"/>
      <c r="D559" s="26">
        <f>89.04+33.97+12.8+172.45+146.64+100.46+187.46+182.47+120.6+95.26-64.21</f>
        <v>1076.94</v>
      </c>
    </row>
    <row r="560" spans="1:4" ht="15" thickBot="1" x14ac:dyDescent="0.35">
      <c r="A560" s="146" t="s">
        <v>91</v>
      </c>
      <c r="B560" s="147"/>
      <c r="C560" s="148"/>
      <c r="D560" s="12">
        <f>D559</f>
        <v>1076.94</v>
      </c>
    </row>
    <row r="561" spans="1:4" x14ac:dyDescent="0.3">
      <c r="A561" s="20" t="str">
        <f>ORÇAMENTO!A159</f>
        <v>19.4</v>
      </c>
      <c r="B561" s="301" t="str">
        <f>ORÇAMENTO!D159</f>
        <v xml:space="preserve">PLACA DE INAUGURACAO ACO ESCOVADO 80 X 60 CM </v>
      </c>
      <c r="C561" s="24" t="str">
        <f>ORÇAMENTO!F159</f>
        <v xml:space="preserve">Un </v>
      </c>
      <c r="D561" s="43" t="s">
        <v>30</v>
      </c>
    </row>
    <row r="562" spans="1:4" x14ac:dyDescent="0.3">
      <c r="A562" s="20"/>
      <c r="B562" s="15" t="s">
        <v>411</v>
      </c>
      <c r="C562" s="37" t="s">
        <v>40</v>
      </c>
      <c r="D562" s="26">
        <v>1</v>
      </c>
    </row>
    <row r="563" spans="1:4" ht="15" thickBot="1" x14ac:dyDescent="0.35">
      <c r="A563" s="146" t="s">
        <v>91</v>
      </c>
      <c r="B563" s="147"/>
      <c r="C563" s="148"/>
      <c r="D563" s="12">
        <f>D562</f>
        <v>1</v>
      </c>
    </row>
    <row r="564" spans="1:4" x14ac:dyDescent="0.3">
      <c r="A564" s="20" t="str">
        <f>ORÇAMENTO!A160</f>
        <v>19.5</v>
      </c>
      <c r="B564" s="301" t="str">
        <f>ORÇAMENTO!D160</f>
        <v>OBELISCO PARA PLACA DE INAUGURAÇÃO - PADRÃO GOINFRA</v>
      </c>
      <c r="C564" s="24" t="str">
        <f>ORÇAMENTO!F162</f>
        <v xml:space="preserve">m </v>
      </c>
      <c r="D564" s="43" t="s">
        <v>30</v>
      </c>
    </row>
    <row r="565" spans="1:4" x14ac:dyDescent="0.3">
      <c r="A565" s="20"/>
      <c r="B565" s="15" t="s">
        <v>411</v>
      </c>
      <c r="C565" s="37" t="s">
        <v>40</v>
      </c>
      <c r="D565" s="26">
        <v>1</v>
      </c>
    </row>
    <row r="566" spans="1:4" ht="15" thickBot="1" x14ac:dyDescent="0.35">
      <c r="A566" s="146" t="s">
        <v>91</v>
      </c>
      <c r="B566" s="147"/>
      <c r="C566" s="148"/>
      <c r="D566" s="12">
        <f>D565</f>
        <v>1</v>
      </c>
    </row>
    <row r="567" spans="1:4" x14ac:dyDescent="0.3">
      <c r="A567" s="20" t="str">
        <f>ORÇAMENTO!A161</f>
        <v>19.6</v>
      </c>
      <c r="B567" s="301" t="str">
        <f>ORÇAMENTO!D161</f>
        <v xml:space="preserve">CONJUNTO PARA VOLEIBOL EM FERRO GALVANIZADO COM PINTURA (2 SUPORTES) </v>
      </c>
      <c r="C567" s="24" t="str">
        <f>ORÇAMENTO!F161</f>
        <v xml:space="preserve">CJ </v>
      </c>
      <c r="D567" s="43" t="s">
        <v>30</v>
      </c>
    </row>
    <row r="568" spans="1:4" x14ac:dyDescent="0.3">
      <c r="A568" s="20"/>
      <c r="B568" s="15" t="s">
        <v>410</v>
      </c>
      <c r="C568" s="37" t="s">
        <v>412</v>
      </c>
      <c r="D568" s="26">
        <v>2</v>
      </c>
    </row>
    <row r="569" spans="1:4" ht="15" thickBot="1" x14ac:dyDescent="0.35">
      <c r="A569" s="146" t="s">
        <v>91</v>
      </c>
      <c r="B569" s="147"/>
      <c r="C569" s="148"/>
      <c r="D569" s="12">
        <f>D568</f>
        <v>2</v>
      </c>
    </row>
    <row r="570" spans="1:4" x14ac:dyDescent="0.3">
      <c r="A570" s="20" t="str">
        <f>ORÇAMENTO!A162</f>
        <v>19.7</v>
      </c>
      <c r="B570" s="301" t="str">
        <f>ORÇAMENTO!D162</f>
        <v>BANCO DE CONCRETO POLIDO BASE EM ALVENARIA REBOCADA E PINTADA - PADRÃO GOINFRA</v>
      </c>
      <c r="C570" s="24" t="str">
        <f>ORÇAMENTO!F162</f>
        <v xml:space="preserve">m </v>
      </c>
      <c r="D570" s="43" t="s">
        <v>30</v>
      </c>
    </row>
    <row r="571" spans="1:4" x14ac:dyDescent="0.3">
      <c r="A571" s="20"/>
      <c r="B571" s="15" t="s">
        <v>413</v>
      </c>
      <c r="C571" s="37" t="s">
        <v>40</v>
      </c>
      <c r="D571" s="26">
        <v>14</v>
      </c>
    </row>
    <row r="572" spans="1:4" x14ac:dyDescent="0.3">
      <c r="A572" s="49"/>
      <c r="B572" s="15" t="s">
        <v>414</v>
      </c>
      <c r="C572" s="37" t="s">
        <v>361</v>
      </c>
      <c r="D572" s="26">
        <v>1.5</v>
      </c>
    </row>
    <row r="573" spans="1:4" ht="15" thickBot="1" x14ac:dyDescent="0.35">
      <c r="A573" s="146" t="s">
        <v>91</v>
      </c>
      <c r="B573" s="147"/>
      <c r="C573" s="148"/>
      <c r="D573" s="12">
        <f>D572*D571</f>
        <v>21</v>
      </c>
    </row>
    <row r="574" spans="1:4" x14ac:dyDescent="0.3">
      <c r="A574" s="20" t="str">
        <f>ORÇAMENTO!A163</f>
        <v>19.8</v>
      </c>
      <c r="B574" s="301" t="str">
        <f>ORÇAMENTO!D163</f>
        <v>PLANTIO DE PALMEIRA COM ALTURA DE MUDA MENOR OU IGUAL A 2,00 M. AF_05/2018</v>
      </c>
      <c r="C574" s="24" t="str">
        <f>ORÇAMENTO!F163</f>
        <v>und.</v>
      </c>
      <c r="D574" s="43" t="s">
        <v>30</v>
      </c>
    </row>
    <row r="575" spans="1:4" x14ac:dyDescent="0.3">
      <c r="A575" s="20"/>
      <c r="B575" s="15" t="s">
        <v>435</v>
      </c>
      <c r="C575" s="37" t="s">
        <v>40</v>
      </c>
      <c r="D575" s="26">
        <v>3</v>
      </c>
    </row>
    <row r="576" spans="1:4" ht="15" thickBot="1" x14ac:dyDescent="0.35">
      <c r="A576" s="146" t="s">
        <v>91</v>
      </c>
      <c r="B576" s="147"/>
      <c r="C576" s="148"/>
      <c r="D576" s="12">
        <f>D575</f>
        <v>3</v>
      </c>
    </row>
    <row r="577" spans="1:7" x14ac:dyDescent="0.3">
      <c r="A577" s="20" t="str">
        <f>ORÇAMENTO!A164</f>
        <v>19.9</v>
      </c>
      <c r="B577" s="301" t="str">
        <f>ORÇAMENTO!D164</f>
        <v>IPOMEIA - H=1,00/1,50 M - (IPOMOEA LEARII) TREPADEIRA</v>
      </c>
      <c r="C577" s="24" t="str">
        <f>ORÇAMENTO!F164</f>
        <v>und.</v>
      </c>
      <c r="D577" s="43" t="s">
        <v>30</v>
      </c>
    </row>
    <row r="578" spans="1:7" x14ac:dyDescent="0.3">
      <c r="A578" s="49"/>
      <c r="B578" s="15" t="s">
        <v>437</v>
      </c>
      <c r="C578" s="37" t="s">
        <v>40</v>
      </c>
      <c r="D578" s="26">
        <v>6</v>
      </c>
    </row>
    <row r="579" spans="1:7" ht="15" thickBot="1" x14ac:dyDescent="0.35">
      <c r="A579" s="146" t="s">
        <v>91</v>
      </c>
      <c r="B579" s="147"/>
      <c r="C579" s="148"/>
      <c r="D579" s="12">
        <f>D578</f>
        <v>6</v>
      </c>
    </row>
    <row r="580" spans="1:7" x14ac:dyDescent="0.3">
      <c r="A580" s="20" t="str">
        <f>ORÇAMENTO!A165</f>
        <v>19.10</v>
      </c>
      <c r="B580" s="301" t="str">
        <f>ORÇAMENTO!D165</f>
        <v>TUMBERGIA - H=0,50/0,70 M - (THUNBERGIA GRANDIFLORA) TREPADEIRA</v>
      </c>
      <c r="C580" s="24" t="str">
        <f>ORÇAMENTO!F165</f>
        <v>und.</v>
      </c>
      <c r="D580" s="43" t="s">
        <v>30</v>
      </c>
    </row>
    <row r="581" spans="1:7" x14ac:dyDescent="0.3">
      <c r="A581" s="20"/>
      <c r="B581" s="15" t="s">
        <v>436</v>
      </c>
      <c r="C581" s="37" t="s">
        <v>40</v>
      </c>
      <c r="D581" s="26">
        <f>6*3</f>
        <v>18</v>
      </c>
    </row>
    <row r="582" spans="1:7" ht="15" thickBot="1" x14ac:dyDescent="0.35">
      <c r="A582" s="146" t="s">
        <v>91</v>
      </c>
      <c r="B582" s="147"/>
      <c r="C582" s="148"/>
      <c r="D582" s="12">
        <f>D581</f>
        <v>18</v>
      </c>
    </row>
    <row r="583" spans="1:7" ht="26.25" customHeight="1" x14ac:dyDescent="0.3">
      <c r="A583" s="20" t="str">
        <f>ORÇAMENTO!A166</f>
        <v>19.11</v>
      </c>
      <c r="B583" s="302" t="str">
        <f>ORÇAMENTO!D166</f>
        <v>MUDA DE ARVORE ORNAMENTAL, OITI/AROEIRA SALSA/ANGICO/IPE/JACARANDA OU EQUIVALENTE DA REGIAO, H= *2* M</v>
      </c>
      <c r="C583" s="24" t="str">
        <f>ORÇAMENTO!F166</f>
        <v>und.</v>
      </c>
      <c r="D583" s="43" t="s">
        <v>30</v>
      </c>
    </row>
    <row r="584" spans="1:7" x14ac:dyDescent="0.3">
      <c r="A584" s="20"/>
      <c r="B584" s="15" t="s">
        <v>438</v>
      </c>
      <c r="C584" s="37" t="s">
        <v>40</v>
      </c>
      <c r="D584" s="26">
        <v>13</v>
      </c>
    </row>
    <row r="585" spans="1:7" ht="15" thickBot="1" x14ac:dyDescent="0.35">
      <c r="A585" s="146" t="s">
        <v>91</v>
      </c>
      <c r="B585" s="147"/>
      <c r="C585" s="148"/>
      <c r="D585" s="12">
        <f>D584</f>
        <v>13</v>
      </c>
    </row>
    <row r="586" spans="1:7" x14ac:dyDescent="0.3">
      <c r="A586" s="20" t="str">
        <f>ORÇAMENTO!A167</f>
        <v>19.12</v>
      </c>
      <c r="B586" s="301" t="str">
        <f>ORÇAMENTO!D167</f>
        <v xml:space="preserve">MUDA DE ARBUSTO, BUXINHO, H= *50* M </v>
      </c>
      <c r="C586" s="24" t="str">
        <f>ORÇAMENTO!F167</f>
        <v>und.</v>
      </c>
      <c r="D586" s="43" t="s">
        <v>30</v>
      </c>
    </row>
    <row r="587" spans="1:7" x14ac:dyDescent="0.3">
      <c r="A587" s="20"/>
      <c r="B587" s="15" t="s">
        <v>439</v>
      </c>
      <c r="C587" s="37" t="s">
        <v>40</v>
      </c>
      <c r="D587" s="26">
        <f>8*3</f>
        <v>24</v>
      </c>
    </row>
    <row r="588" spans="1:7" ht="15" thickBot="1" x14ac:dyDescent="0.35">
      <c r="A588" s="146" t="s">
        <v>91</v>
      </c>
      <c r="B588" s="147"/>
      <c r="C588" s="148"/>
      <c r="D588" s="12">
        <f>D587</f>
        <v>24</v>
      </c>
    </row>
    <row r="589" spans="1:7" x14ac:dyDescent="0.3">
      <c r="A589" s="20" t="str">
        <f>ORÇAMENTO!A168</f>
        <v>19.13</v>
      </c>
      <c r="B589" s="301" t="str">
        <f>ORÇAMENTO!D168</f>
        <v xml:space="preserve">MEIO FIO COM SARJETA - MFU02 </v>
      </c>
      <c r="C589" s="24" t="str">
        <f>ORÇAMENTO!F168</f>
        <v>m</v>
      </c>
      <c r="D589" s="43" t="s">
        <v>30</v>
      </c>
    </row>
    <row r="590" spans="1:7" x14ac:dyDescent="0.3">
      <c r="A590" s="20"/>
      <c r="B590" s="15" t="s">
        <v>467</v>
      </c>
      <c r="C590" s="37" t="s">
        <v>163</v>
      </c>
      <c r="D590" s="26">
        <f>42.84+91.18</f>
        <v>134.02000000000001</v>
      </c>
    </row>
    <row r="591" spans="1:7" ht="15" thickBot="1" x14ac:dyDescent="0.35">
      <c r="A591" s="146" t="s">
        <v>91</v>
      </c>
      <c r="B591" s="147"/>
      <c r="C591" s="148"/>
      <c r="D591" s="12">
        <f>D590</f>
        <v>134.02000000000001</v>
      </c>
    </row>
    <row r="592" spans="1:7" x14ac:dyDescent="0.3">
      <c r="A592" s="236" t="s">
        <v>64</v>
      </c>
      <c r="B592" s="237"/>
      <c r="C592" s="237"/>
      <c r="D592" s="285"/>
      <c r="E592" s="286"/>
      <c r="F592" s="287"/>
      <c r="G592" s="288"/>
    </row>
    <row r="593" spans="1:7" x14ac:dyDescent="0.3">
      <c r="A593" s="180"/>
      <c r="B593" s="190"/>
      <c r="C593" s="190"/>
      <c r="D593" s="289"/>
      <c r="E593" s="286"/>
      <c r="F593" s="287"/>
      <c r="G593" s="288"/>
    </row>
    <row r="594" spans="1:7" x14ac:dyDescent="0.3">
      <c r="A594" s="180"/>
      <c r="B594" s="190"/>
      <c r="C594" s="190"/>
      <c r="D594" s="289"/>
      <c r="E594" s="286"/>
      <c r="F594" s="287"/>
      <c r="G594" s="288"/>
    </row>
    <row r="595" spans="1:7" x14ac:dyDescent="0.3">
      <c r="A595" s="180"/>
      <c r="B595" s="190"/>
      <c r="C595" s="190"/>
      <c r="D595" s="289"/>
      <c r="E595" s="286"/>
      <c r="F595" s="287"/>
      <c r="G595" s="288"/>
    </row>
    <row r="596" spans="1:7" x14ac:dyDescent="0.3">
      <c r="A596" s="180"/>
      <c r="B596" s="190" t="s">
        <v>35</v>
      </c>
      <c r="C596" s="290"/>
      <c r="D596" s="290"/>
    </row>
    <row r="597" spans="1:7" x14ac:dyDescent="0.3">
      <c r="A597" s="180"/>
      <c r="B597" s="181" t="s">
        <v>36</v>
      </c>
      <c r="C597" s="291"/>
      <c r="D597" s="291"/>
    </row>
    <row r="598" spans="1:7" x14ac:dyDescent="0.3">
      <c r="A598" s="180"/>
      <c r="B598" s="190" t="s">
        <v>37</v>
      </c>
      <c r="C598" s="290"/>
      <c r="D598" s="290"/>
    </row>
    <row r="599" spans="1:7" ht="15" thickBot="1" x14ac:dyDescent="0.35">
      <c r="A599" s="252"/>
      <c r="B599" s="254" t="s">
        <v>38</v>
      </c>
      <c r="C599" s="292"/>
      <c r="D599" s="293"/>
    </row>
    <row r="600" spans="1:7" x14ac:dyDescent="0.3">
      <c r="A600" s="190"/>
      <c r="B600" s="181"/>
      <c r="C600" s="190"/>
      <c r="D600" s="244"/>
      <c r="E600" s="294"/>
      <c r="F600" s="295"/>
      <c r="G600" s="296"/>
    </row>
  </sheetData>
  <sheetProtection algorithmName="SHA-512" hashValue="laoh2stYzEhtebRM/1Dk/lOfIQRYIBaqT2Xd4hTaow2nvwHYocWbxW4eY4sKQ7kG01H+n5GUMWuc4RQshl7oiw==" saltValue="S5Ky/aRJxsoTqP5Cl96lrQ==" spinCount="100000" sheet="1" objects="1" scenarios="1" selectLockedCells="1"/>
  <mergeCells count="153">
    <mergeCell ref="A242:C242"/>
    <mergeCell ref="A549:C549"/>
    <mergeCell ref="A469:C469"/>
    <mergeCell ref="A557:C557"/>
    <mergeCell ref="A322:C322"/>
    <mergeCell ref="A328:C328"/>
    <mergeCell ref="A332:C332"/>
    <mergeCell ref="A340:C340"/>
    <mergeCell ref="A344:C344"/>
    <mergeCell ref="A361:C361"/>
    <mergeCell ref="A367:C367"/>
    <mergeCell ref="A453:C453"/>
    <mergeCell ref="A521:C521"/>
    <mergeCell ref="A515:C515"/>
    <mergeCell ref="A497:C497"/>
    <mergeCell ref="A354:C354"/>
    <mergeCell ref="A406:C406"/>
    <mergeCell ref="A421:C421"/>
    <mergeCell ref="A544:C544"/>
    <mergeCell ref="A532:C532"/>
    <mergeCell ref="A518:C518"/>
    <mergeCell ref="A520:C520"/>
    <mergeCell ref="A548:C548"/>
    <mergeCell ref="A167:D167"/>
    <mergeCell ref="A333:C333"/>
    <mergeCell ref="A345:C345"/>
    <mergeCell ref="A411:C411"/>
    <mergeCell ref="A141:C141"/>
    <mergeCell ref="A268:C268"/>
    <mergeCell ref="A274:C274"/>
    <mergeCell ref="A273:C273"/>
    <mergeCell ref="A173:C173"/>
    <mergeCell ref="A177:C177"/>
    <mergeCell ref="A166:C166"/>
    <mergeCell ref="A225:C225"/>
    <mergeCell ref="A229:C229"/>
    <mergeCell ref="A233:C233"/>
    <mergeCell ref="A245:C245"/>
    <mergeCell ref="A250:C250"/>
    <mergeCell ref="A213:C213"/>
    <mergeCell ref="A193:C193"/>
    <mergeCell ref="A205:C205"/>
    <mergeCell ref="A209:C209"/>
    <mergeCell ref="A189:C189"/>
    <mergeCell ref="A220:C220"/>
    <mergeCell ref="A168:C168"/>
    <mergeCell ref="A200:C200"/>
    <mergeCell ref="B116:D116"/>
    <mergeCell ref="A120:C120"/>
    <mergeCell ref="A121:C121"/>
    <mergeCell ref="B123:D123"/>
    <mergeCell ref="A127:C127"/>
    <mergeCell ref="B128:D128"/>
    <mergeCell ref="A132:C132"/>
    <mergeCell ref="A147:C147"/>
    <mergeCell ref="A161:C161"/>
    <mergeCell ref="A139:C139"/>
    <mergeCell ref="A155:C155"/>
    <mergeCell ref="A71:C71"/>
    <mergeCell ref="A64:C64"/>
    <mergeCell ref="A32:C32"/>
    <mergeCell ref="A35:C35"/>
    <mergeCell ref="B82:D82"/>
    <mergeCell ref="B87:D87"/>
    <mergeCell ref="B92:D92"/>
    <mergeCell ref="A91:C91"/>
    <mergeCell ref="A85:C85"/>
    <mergeCell ref="A63:C63"/>
    <mergeCell ref="A75:C75"/>
    <mergeCell ref="A78:C78"/>
    <mergeCell ref="A68:C68"/>
    <mergeCell ref="A1:C1"/>
    <mergeCell ref="A2:C2"/>
    <mergeCell ref="A40:C40"/>
    <mergeCell ref="A57:C57"/>
    <mergeCell ref="A52:C52"/>
    <mergeCell ref="A19:C19"/>
    <mergeCell ref="A22:C22"/>
    <mergeCell ref="A16:C16"/>
    <mergeCell ref="A44:C44"/>
    <mergeCell ref="A27:C27"/>
    <mergeCell ref="A103:C103"/>
    <mergeCell ref="B104:D104"/>
    <mergeCell ref="A108:C108"/>
    <mergeCell ref="B143:D143"/>
    <mergeCell ref="A149:C149"/>
    <mergeCell ref="A484:C484"/>
    <mergeCell ref="A465:C465"/>
    <mergeCell ref="A350:C350"/>
    <mergeCell ref="A133:C133"/>
    <mergeCell ref="A323:C323"/>
    <mergeCell ref="B135:D135"/>
    <mergeCell ref="A178:C178"/>
    <mergeCell ref="A198:C198"/>
    <mergeCell ref="A254:C254"/>
    <mergeCell ref="A258:C258"/>
    <mergeCell ref="A384:C384"/>
    <mergeCell ref="A388:C388"/>
    <mergeCell ref="A392:C392"/>
    <mergeCell ref="A394:C394"/>
    <mergeCell ref="A426:C426"/>
    <mergeCell ref="A263:C263"/>
    <mergeCell ref="A441:C441"/>
    <mergeCell ref="B111:D111"/>
    <mergeCell ref="A115:C115"/>
    <mergeCell ref="A96:C96"/>
    <mergeCell ref="B99:D99"/>
    <mergeCell ref="C599:D599"/>
    <mergeCell ref="A525:C525"/>
    <mergeCell ref="A592:C592"/>
    <mergeCell ref="C596:D596"/>
    <mergeCell ref="C597:D597"/>
    <mergeCell ref="C598:D598"/>
    <mergeCell ref="A483:C483"/>
    <mergeCell ref="A569:C569"/>
    <mergeCell ref="A560:C560"/>
    <mergeCell ref="A498:C498"/>
    <mergeCell ref="A537:C537"/>
    <mergeCell ref="A456:C456"/>
    <mergeCell ref="A459:C459"/>
    <mergeCell ref="A477:C477"/>
    <mergeCell ref="A489:C489"/>
    <mergeCell ref="A493:C493"/>
    <mergeCell ref="A505:C505"/>
    <mergeCell ref="A510:C510"/>
    <mergeCell ref="A315:C315"/>
    <mergeCell ref="A97:C97"/>
    <mergeCell ref="A109:C109"/>
    <mergeCell ref="B368:D368"/>
    <mergeCell ref="A243:C243"/>
    <mergeCell ref="A267:C267"/>
    <mergeCell ref="A184:C184"/>
    <mergeCell ref="A591:C591"/>
    <mergeCell ref="A576:C576"/>
    <mergeCell ref="A579:C579"/>
    <mergeCell ref="A582:C582"/>
    <mergeCell ref="A585:C585"/>
    <mergeCell ref="A588:C588"/>
    <mergeCell ref="A373:C373"/>
    <mergeCell ref="A376:C376"/>
    <mergeCell ref="A410:C410"/>
    <mergeCell ref="A425:C425"/>
    <mergeCell ref="A536:C536"/>
    <mergeCell ref="A573:C573"/>
    <mergeCell ref="A563:C563"/>
    <mergeCell ref="A431:C431"/>
    <mergeCell ref="A435:C435"/>
    <mergeCell ref="A445:C445"/>
    <mergeCell ref="A448:C448"/>
    <mergeCell ref="A554:C554"/>
    <mergeCell ref="A566:C566"/>
    <mergeCell ref="A218:C218"/>
    <mergeCell ref="A238:C238"/>
  </mergeCells>
  <phoneticPr fontId="5" type="noConversion"/>
  <pageMargins left="0.51181102362204722" right="0.51181102362204722" top="0.78740157480314965" bottom="0.39370078740157483" header="0.31496062992125984" footer="0.31496062992125984"/>
  <pageSetup paperSize="9" scale="63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1" workbookViewId="0">
      <selection activeCell="G27" sqref="G27"/>
    </sheetView>
  </sheetViews>
  <sheetFormatPr defaultRowHeight="14.4" x14ac:dyDescent="0.3"/>
  <cols>
    <col min="1" max="1" width="11" style="303" bestFit="1" customWidth="1"/>
    <col min="2" max="2" width="10.44140625" style="303" bestFit="1" customWidth="1"/>
    <col min="3" max="3" width="11.44140625" style="303" bestFit="1" customWidth="1"/>
    <col min="4" max="4" width="81.33203125" style="303" customWidth="1"/>
    <col min="5" max="5" width="14.33203125" style="303" bestFit="1" customWidth="1"/>
    <col min="6" max="6" width="11.33203125" style="303" bestFit="1" customWidth="1"/>
    <col min="7" max="7" width="18" style="303" bestFit="1" customWidth="1"/>
    <col min="8" max="8" width="15.44140625" style="303" bestFit="1" customWidth="1"/>
    <col min="9" max="9" width="17.44140625" style="303" bestFit="1" customWidth="1"/>
    <col min="10" max="16384" width="8.88671875" style="179"/>
  </cols>
  <sheetData>
    <row r="1" spans="1:9" ht="15" thickBot="1" x14ac:dyDescent="0.35"/>
    <row r="2" spans="1:9" x14ac:dyDescent="0.3">
      <c r="A2" s="304"/>
      <c r="B2" s="305"/>
      <c r="C2" s="175" t="s">
        <v>340</v>
      </c>
      <c r="D2" s="175"/>
      <c r="E2" s="175"/>
      <c r="F2" s="175"/>
      <c r="G2" s="175"/>
      <c r="H2" s="175"/>
      <c r="I2" s="176"/>
    </row>
    <row r="3" spans="1:9" x14ac:dyDescent="0.3">
      <c r="A3" s="242"/>
      <c r="B3" s="306"/>
      <c r="C3" s="183" t="s">
        <v>341</v>
      </c>
      <c r="D3" s="183"/>
      <c r="E3" s="183"/>
      <c r="F3" s="183"/>
      <c r="G3" s="183"/>
      <c r="H3" s="183"/>
      <c r="I3" s="184"/>
    </row>
    <row r="4" spans="1:9" x14ac:dyDescent="0.3">
      <c r="A4" s="242"/>
      <c r="B4" s="306"/>
      <c r="C4" s="307" t="s">
        <v>55</v>
      </c>
      <c r="D4" s="240" t="s">
        <v>0</v>
      </c>
      <c r="E4" s="240"/>
      <c r="F4" s="240"/>
      <c r="G4" s="240"/>
      <c r="H4" s="240"/>
      <c r="I4" s="241"/>
    </row>
    <row r="5" spans="1:9" x14ac:dyDescent="0.3">
      <c r="A5" s="308"/>
      <c r="B5" s="309"/>
      <c r="C5" s="310" t="s">
        <v>57</v>
      </c>
      <c r="D5" s="240" t="str">
        <f>ORÇAMENTO!D4</f>
        <v>URBANIZAÇÃO DA REPRESA DA BICA</v>
      </c>
      <c r="E5" s="240"/>
      <c r="F5" s="240"/>
      <c r="G5" s="240"/>
      <c r="H5" s="240"/>
      <c r="I5" s="241"/>
    </row>
    <row r="6" spans="1:9" x14ac:dyDescent="0.3">
      <c r="A6" s="242"/>
      <c r="B6" s="306"/>
      <c r="C6" s="307" t="s">
        <v>56</v>
      </c>
      <c r="D6" s="240">
        <f>ORÇAMENTO!D5</f>
        <v>2021029282</v>
      </c>
      <c r="E6" s="240"/>
      <c r="F6" s="240"/>
      <c r="G6" s="240"/>
      <c r="H6" s="240"/>
      <c r="I6" s="241"/>
    </row>
    <row r="7" spans="1:9" x14ac:dyDescent="0.3">
      <c r="A7" s="242"/>
      <c r="B7" s="306"/>
      <c r="C7" s="307" t="s">
        <v>58</v>
      </c>
      <c r="D7" s="240" t="str">
        <f>ORÇAMENTO!D6</f>
        <v>REPRESA DA BICA</v>
      </c>
      <c r="E7" s="240"/>
      <c r="F7" s="240"/>
      <c r="G7" s="240"/>
      <c r="H7" s="240"/>
      <c r="I7" s="241"/>
    </row>
    <row r="8" spans="1:9" x14ac:dyDescent="0.3">
      <c r="A8" s="242"/>
      <c r="B8" s="306"/>
      <c r="C8" s="307" t="s">
        <v>59</v>
      </c>
      <c r="D8" s="240" t="str">
        <f>ORÇAMENTO!D7</f>
        <v>TABELA GOINFRA 148 - CUSTOS DE OBRAS CIVIS - NOVEMBRO/2020 - DESONERADA - DATA BASE: 30/06/2021</v>
      </c>
      <c r="E8" s="240"/>
      <c r="F8" s="240"/>
      <c r="G8" s="240"/>
      <c r="H8" s="240"/>
      <c r="I8" s="241"/>
    </row>
    <row r="9" spans="1:9" x14ac:dyDescent="0.3">
      <c r="A9" s="242"/>
      <c r="B9" s="306"/>
      <c r="C9" s="307"/>
      <c r="D9" s="240" t="str">
        <f>ORÇAMENTO!D8</f>
        <v>TABELA SINAPI PCI.817.01 - CUSTO DE COMPOSIÇÕES - SINTÉTITICO - AGOSTO/2021 - COM DESONERAÇÃO - DATA BASE: 13/08/2021</v>
      </c>
      <c r="E9" s="240"/>
      <c r="F9" s="240"/>
      <c r="G9" s="240"/>
      <c r="H9" s="240"/>
      <c r="I9" s="241"/>
    </row>
    <row r="10" spans="1:9" x14ac:dyDescent="0.3">
      <c r="A10" s="180"/>
      <c r="B10" s="311"/>
      <c r="C10" s="307"/>
      <c r="D10" s="186" t="str">
        <f>ORÇAMENTO!D9</f>
        <v xml:space="preserve"> TABELA DE TERRAPLENAGEM, PAVIMENTAÇÃO E OBRAS DE ARTE ESPECIAIS - JUL/21 - COM DESONERAÇÃO - T152 DATA BASE: 30/06/2021</v>
      </c>
      <c r="E10" s="186"/>
      <c r="F10" s="186"/>
      <c r="G10" s="186"/>
      <c r="H10" s="186"/>
      <c r="I10" s="312"/>
    </row>
    <row r="11" spans="1:9" x14ac:dyDescent="0.3">
      <c r="A11" s="242"/>
      <c r="B11" s="306"/>
      <c r="C11" s="307" t="s">
        <v>60</v>
      </c>
      <c r="D11" s="313" t="str">
        <f>ORÇAMENTO!D10</f>
        <v>Segunda -feira 13 de setembro de 2021</v>
      </c>
      <c r="E11" s="313"/>
      <c r="F11" s="313"/>
      <c r="G11" s="313"/>
      <c r="H11" s="313"/>
      <c r="I11" s="314"/>
    </row>
    <row r="12" spans="1:9" ht="15" thickBot="1" x14ac:dyDescent="0.35">
      <c r="A12" s="315"/>
      <c r="B12" s="316"/>
      <c r="C12" s="317" t="s">
        <v>39</v>
      </c>
      <c r="D12" s="318">
        <f>ORÇAMENTO!D11</f>
        <v>0.23880000000000001</v>
      </c>
      <c r="E12" s="318"/>
      <c r="F12" s="318"/>
      <c r="G12" s="318"/>
      <c r="H12" s="318"/>
      <c r="I12" s="319"/>
    </row>
    <row r="13" spans="1:9" ht="15" thickBot="1" x14ac:dyDescent="0.35"/>
    <row r="14" spans="1:9" ht="15" thickBot="1" x14ac:dyDescent="0.35">
      <c r="A14" s="96" t="s">
        <v>339</v>
      </c>
      <c r="B14" s="166" t="s">
        <v>318</v>
      </c>
      <c r="C14" s="166"/>
      <c r="D14" s="166"/>
      <c r="E14" s="166"/>
      <c r="F14" s="166"/>
      <c r="G14" s="166"/>
      <c r="H14" s="166"/>
      <c r="I14" s="167"/>
    </row>
    <row r="15" spans="1:9" ht="15" thickBot="1" x14ac:dyDescent="0.35">
      <c r="A15" s="50" t="s">
        <v>1</v>
      </c>
      <c r="B15" s="51" t="s">
        <v>53</v>
      </c>
      <c r="C15" s="52" t="s">
        <v>54</v>
      </c>
      <c r="D15" s="53" t="s">
        <v>6</v>
      </c>
      <c r="E15" s="54" t="s">
        <v>319</v>
      </c>
      <c r="F15" s="54" t="s">
        <v>320</v>
      </c>
      <c r="G15" s="97" t="s">
        <v>321</v>
      </c>
      <c r="H15" s="98" t="s">
        <v>322</v>
      </c>
      <c r="I15" s="99" t="s">
        <v>323</v>
      </c>
    </row>
    <row r="16" spans="1:9" x14ac:dyDescent="0.3">
      <c r="A16" s="75" t="s">
        <v>12</v>
      </c>
      <c r="B16" s="9" t="s">
        <v>8</v>
      </c>
      <c r="C16" s="16">
        <v>5</v>
      </c>
      <c r="D16" s="65" t="s">
        <v>324</v>
      </c>
      <c r="E16" s="218">
        <v>5.0999999999999996</v>
      </c>
      <c r="F16" s="62">
        <v>9.64</v>
      </c>
      <c r="G16" s="100">
        <v>89.05</v>
      </c>
      <c r="H16" s="336">
        <v>0.61799999999999999</v>
      </c>
      <c r="I16" s="101">
        <f>F16*H16</f>
        <v>5.9575200000000006</v>
      </c>
    </row>
    <row r="17" spans="1:9" x14ac:dyDescent="0.3">
      <c r="A17" s="75" t="s">
        <v>52</v>
      </c>
      <c r="B17" s="9" t="s">
        <v>8</v>
      </c>
      <c r="C17" s="16">
        <v>28</v>
      </c>
      <c r="D17" s="65" t="s">
        <v>325</v>
      </c>
      <c r="E17" s="218">
        <v>8.4499999999999993</v>
      </c>
      <c r="F17" s="62">
        <v>15.97</v>
      </c>
      <c r="G17" s="100">
        <v>89.05</v>
      </c>
      <c r="H17" s="336">
        <v>1.236</v>
      </c>
      <c r="I17" s="101">
        <f>F17*H17</f>
        <v>19.73892</v>
      </c>
    </row>
    <row r="18" spans="1:9" ht="15" thickBot="1" x14ac:dyDescent="0.35">
      <c r="A18" s="332" t="s">
        <v>326</v>
      </c>
      <c r="B18" s="333"/>
      <c r="C18" s="333"/>
      <c r="D18" s="333"/>
      <c r="E18" s="333"/>
      <c r="F18" s="333"/>
      <c r="G18" s="333"/>
      <c r="H18" s="333"/>
      <c r="I18" s="102">
        <f>SUM(I16:I17)</f>
        <v>25.696440000000003</v>
      </c>
    </row>
    <row r="19" spans="1:9" ht="15" thickBot="1" x14ac:dyDescent="0.35">
      <c r="A19" s="50" t="s">
        <v>1</v>
      </c>
      <c r="B19" s="51" t="s">
        <v>53</v>
      </c>
      <c r="C19" s="52" t="s">
        <v>54</v>
      </c>
      <c r="D19" s="170" t="s">
        <v>327</v>
      </c>
      <c r="E19" s="171"/>
      <c r="F19" s="54" t="s">
        <v>328</v>
      </c>
      <c r="G19" s="54" t="s">
        <v>329</v>
      </c>
      <c r="H19" s="98" t="s">
        <v>322</v>
      </c>
      <c r="I19" s="99" t="s">
        <v>330</v>
      </c>
    </row>
    <row r="20" spans="1:9" x14ac:dyDescent="0.3">
      <c r="A20" s="75" t="s">
        <v>331</v>
      </c>
      <c r="B20" s="9" t="s">
        <v>8</v>
      </c>
      <c r="C20" s="9">
        <v>2390</v>
      </c>
      <c r="D20" s="10" t="s">
        <v>332</v>
      </c>
      <c r="E20" s="9"/>
      <c r="F20" s="219" t="s">
        <v>333</v>
      </c>
      <c r="G20" s="62">
        <v>0.93</v>
      </c>
      <c r="H20" s="103">
        <v>8.6199999999999992</v>
      </c>
      <c r="I20" s="104">
        <f>G20*H20</f>
        <v>8.0166000000000004</v>
      </c>
    </row>
    <row r="21" spans="1:9" x14ac:dyDescent="0.3">
      <c r="A21" s="75" t="s">
        <v>334</v>
      </c>
      <c r="B21" s="9" t="s">
        <v>8</v>
      </c>
      <c r="C21" s="9">
        <v>2690</v>
      </c>
      <c r="D21" s="10" t="s">
        <v>335</v>
      </c>
      <c r="E21" s="9"/>
      <c r="F21" s="219" t="s">
        <v>142</v>
      </c>
      <c r="G21" s="62">
        <v>2.93</v>
      </c>
      <c r="H21" s="103">
        <v>0.45</v>
      </c>
      <c r="I21" s="63">
        <f>G21*H21</f>
        <v>1.3185</v>
      </c>
    </row>
    <row r="22" spans="1:9" x14ac:dyDescent="0.3">
      <c r="A22" s="75" t="s">
        <v>336</v>
      </c>
      <c r="B22" s="168" t="s">
        <v>267</v>
      </c>
      <c r="C22" s="169"/>
      <c r="D22" s="10" t="s">
        <v>337</v>
      </c>
      <c r="E22" s="9"/>
      <c r="F22" s="219" t="s">
        <v>33</v>
      </c>
      <c r="G22" s="320">
        <f>(150+169.9+208.95+208.8)/4</f>
        <v>184.41249999999997</v>
      </c>
      <c r="H22" s="103">
        <v>1.01</v>
      </c>
      <c r="I22" s="63">
        <f>G22*H22</f>
        <v>186.25662499999996</v>
      </c>
    </row>
    <row r="23" spans="1:9" ht="15" thickBot="1" x14ac:dyDescent="0.35">
      <c r="A23" s="332" t="s">
        <v>326</v>
      </c>
      <c r="B23" s="333"/>
      <c r="C23" s="333"/>
      <c r="D23" s="333"/>
      <c r="E23" s="333"/>
      <c r="F23" s="333"/>
      <c r="G23" s="333"/>
      <c r="H23" s="333"/>
      <c r="I23" s="105">
        <f>SUM(I20:I22)</f>
        <v>195.59172499999997</v>
      </c>
    </row>
    <row r="24" spans="1:9" ht="15" thickBot="1" x14ac:dyDescent="0.35">
      <c r="A24" s="332" t="s">
        <v>338</v>
      </c>
      <c r="B24" s="333"/>
      <c r="C24" s="333"/>
      <c r="D24" s="333"/>
      <c r="E24" s="333"/>
      <c r="F24" s="333"/>
      <c r="G24" s="333"/>
      <c r="H24" s="333"/>
      <c r="I24" s="106">
        <f>I23+I18</f>
        <v>221.28816499999996</v>
      </c>
    </row>
    <row r="25" spans="1:9" ht="15" thickBot="1" x14ac:dyDescent="0.35">
      <c r="A25" s="96" t="s">
        <v>339</v>
      </c>
      <c r="B25" s="166" t="str">
        <f>ORÇAMENTO!D81</f>
        <v>POSTE ORNAMENTAL COM LUMINÁRIA DE LED</v>
      </c>
      <c r="C25" s="166"/>
      <c r="D25" s="166"/>
      <c r="E25" s="166"/>
      <c r="F25" s="166"/>
      <c r="G25" s="166"/>
      <c r="H25" s="166"/>
      <c r="I25" s="167"/>
    </row>
    <row r="26" spans="1:9" ht="15" thickBot="1" x14ac:dyDescent="0.35">
      <c r="A26" s="50" t="s">
        <v>1</v>
      </c>
      <c r="B26" s="51" t="s">
        <v>53</v>
      </c>
      <c r="C26" s="52" t="s">
        <v>54</v>
      </c>
      <c r="D26" s="122" t="s">
        <v>470</v>
      </c>
      <c r="E26" s="54" t="s">
        <v>322</v>
      </c>
      <c r="F26" s="54" t="s">
        <v>328</v>
      </c>
      <c r="G26" s="54" t="s">
        <v>471</v>
      </c>
      <c r="H26" s="98" t="s">
        <v>6</v>
      </c>
      <c r="I26" s="99" t="s">
        <v>330</v>
      </c>
    </row>
    <row r="27" spans="1:9" ht="52.8" x14ac:dyDescent="0.3">
      <c r="A27" s="75" t="s">
        <v>331</v>
      </c>
      <c r="B27" s="9" t="s">
        <v>8</v>
      </c>
      <c r="C27" s="9">
        <v>71992</v>
      </c>
      <c r="D27" s="65" t="s">
        <v>472</v>
      </c>
      <c r="E27" s="11">
        <v>1</v>
      </c>
      <c r="F27" s="9" t="s">
        <v>473</v>
      </c>
      <c r="G27" s="62">
        <v>2373.2800000000002</v>
      </c>
      <c r="H27" s="62">
        <v>15.21</v>
      </c>
      <c r="I27" s="104">
        <f>(G27+H27)*E27</f>
        <v>2388.4900000000002</v>
      </c>
    </row>
    <row r="28" spans="1:9" ht="26.4" x14ac:dyDescent="0.3">
      <c r="A28" s="75" t="s">
        <v>334</v>
      </c>
      <c r="B28" s="9" t="s">
        <v>29</v>
      </c>
      <c r="C28" s="9">
        <v>101657</v>
      </c>
      <c r="D28" s="65" t="s">
        <v>237</v>
      </c>
      <c r="E28" s="11">
        <v>1</v>
      </c>
      <c r="F28" s="9" t="s">
        <v>238</v>
      </c>
      <c r="G28" s="129">
        <v>622.09</v>
      </c>
      <c r="H28" s="130"/>
      <c r="I28" s="63">
        <f>G28*E28</f>
        <v>622.09</v>
      </c>
    </row>
    <row r="29" spans="1:9" x14ac:dyDescent="0.3">
      <c r="A29" s="75" t="s">
        <v>336</v>
      </c>
      <c r="B29" s="168" t="s">
        <v>267</v>
      </c>
      <c r="C29" s="169"/>
      <c r="D29" s="10" t="s">
        <v>474</v>
      </c>
      <c r="E29" s="11">
        <v>1</v>
      </c>
      <c r="F29" s="9" t="s">
        <v>473</v>
      </c>
      <c r="G29" s="321">
        <f>(634.47+1177+1353.55+1324.13)/4</f>
        <v>1122.2874999999999</v>
      </c>
      <c r="H29" s="322"/>
      <c r="I29" s="63">
        <f>G29*E29</f>
        <v>1122.2874999999999</v>
      </c>
    </row>
    <row r="30" spans="1:9" ht="15" thickBot="1" x14ac:dyDescent="0.35">
      <c r="A30" s="332" t="s">
        <v>326</v>
      </c>
      <c r="B30" s="333"/>
      <c r="C30" s="333"/>
      <c r="D30" s="333"/>
      <c r="E30" s="333"/>
      <c r="F30" s="333"/>
      <c r="G30" s="333"/>
      <c r="H30" s="333"/>
      <c r="I30" s="105">
        <f>SUM(I27:I29)</f>
        <v>4132.8675000000003</v>
      </c>
    </row>
    <row r="31" spans="1:9" ht="15" thickBot="1" x14ac:dyDescent="0.35">
      <c r="A31" s="334" t="s">
        <v>338</v>
      </c>
      <c r="B31" s="335"/>
      <c r="C31" s="335"/>
      <c r="D31" s="335"/>
      <c r="E31" s="335"/>
      <c r="F31" s="335"/>
      <c r="G31" s="335"/>
      <c r="H31" s="335"/>
      <c r="I31" s="127">
        <f>I30</f>
        <v>4132.8675000000003</v>
      </c>
    </row>
    <row r="32" spans="1:9" x14ac:dyDescent="0.3">
      <c r="A32" s="323"/>
      <c r="B32" s="324"/>
      <c r="C32" s="324"/>
      <c r="D32" s="324"/>
      <c r="E32" s="324"/>
      <c r="F32" s="324"/>
      <c r="G32" s="324"/>
      <c r="H32" s="324"/>
      <c r="I32" s="325"/>
    </row>
    <row r="33" spans="1:9" x14ac:dyDescent="0.3">
      <c r="A33" s="326"/>
      <c r="B33" s="327"/>
      <c r="C33" s="327"/>
      <c r="D33" s="327"/>
      <c r="E33" s="327"/>
      <c r="F33" s="327"/>
      <c r="G33" s="327"/>
      <c r="H33" s="327"/>
      <c r="I33" s="328"/>
    </row>
    <row r="34" spans="1:9" x14ac:dyDescent="0.3">
      <c r="A34" s="326"/>
      <c r="B34" s="327"/>
      <c r="C34" s="327"/>
      <c r="D34" s="190" t="s">
        <v>35</v>
      </c>
      <c r="E34" s="327"/>
      <c r="F34" s="327"/>
      <c r="G34" s="327"/>
      <c r="H34" s="327"/>
      <c r="I34" s="328"/>
    </row>
    <row r="35" spans="1:9" x14ac:dyDescent="0.3">
      <c r="A35" s="326"/>
      <c r="B35" s="327"/>
      <c r="C35" s="327"/>
      <c r="D35" s="181" t="s">
        <v>36</v>
      </c>
      <c r="E35" s="327"/>
      <c r="F35" s="327"/>
      <c r="G35" s="327"/>
      <c r="H35" s="327"/>
      <c r="I35" s="328"/>
    </row>
    <row r="36" spans="1:9" x14ac:dyDescent="0.3">
      <c r="A36" s="326"/>
      <c r="B36" s="327"/>
      <c r="C36" s="327"/>
      <c r="D36" s="190" t="s">
        <v>37</v>
      </c>
      <c r="E36" s="327"/>
      <c r="F36" s="327"/>
      <c r="G36" s="327"/>
      <c r="H36" s="327"/>
      <c r="I36" s="328"/>
    </row>
    <row r="37" spans="1:9" ht="15" thickBot="1" x14ac:dyDescent="0.35">
      <c r="A37" s="329"/>
      <c r="B37" s="330"/>
      <c r="C37" s="330"/>
      <c r="D37" s="254" t="s">
        <v>38</v>
      </c>
      <c r="E37" s="330"/>
      <c r="F37" s="330"/>
      <c r="G37" s="330"/>
      <c r="H37" s="330"/>
      <c r="I37" s="331"/>
    </row>
  </sheetData>
  <sheetProtection algorithmName="SHA-512" hashValue="8jMZjGdKgexskhYUHccVW4z7SbjhbNa3gXUERp+Q25uFhPX7wkXt8vVozcEoMPKXDL7TnTf0dDSSQvlHbR/hlQ==" saltValue="Lo8tt2zRC/9l3zptjnRH2Q==" spinCount="100000" sheet="1" objects="1" scenarios="1" selectLockedCells="1"/>
  <mergeCells count="32">
    <mergeCell ref="A12:B12"/>
    <mergeCell ref="D12:I12"/>
    <mergeCell ref="A8:B8"/>
    <mergeCell ref="D8:I8"/>
    <mergeCell ref="A9:B9"/>
    <mergeCell ref="D9:I9"/>
    <mergeCell ref="A11:B11"/>
    <mergeCell ref="D11:I11"/>
    <mergeCell ref="A5:B5"/>
    <mergeCell ref="D5:I5"/>
    <mergeCell ref="A6:B6"/>
    <mergeCell ref="D6:I6"/>
    <mergeCell ref="A7:B7"/>
    <mergeCell ref="D7:I7"/>
    <mergeCell ref="A2:B2"/>
    <mergeCell ref="C2:I2"/>
    <mergeCell ref="A3:B3"/>
    <mergeCell ref="C3:I3"/>
    <mergeCell ref="A4:B4"/>
    <mergeCell ref="D4:I4"/>
    <mergeCell ref="A24:H24"/>
    <mergeCell ref="B14:I14"/>
    <mergeCell ref="A18:H18"/>
    <mergeCell ref="D19:E19"/>
    <mergeCell ref="B22:C22"/>
    <mergeCell ref="A23:H23"/>
    <mergeCell ref="A31:H31"/>
    <mergeCell ref="G28:H28"/>
    <mergeCell ref="G29:H29"/>
    <mergeCell ref="B25:I25"/>
    <mergeCell ref="B29:C29"/>
    <mergeCell ref="A30:H30"/>
  </mergeCells>
  <pageMargins left="0.511811024" right="0.511811024" top="0.78740157499999996" bottom="0.78740157499999996" header="0.31496062000000002" footer="0.31496062000000002"/>
  <pageSetup paperSize="9" scale="71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showGridLines="0" zoomScaleNormal="100" workbookViewId="0">
      <selection activeCell="I13" sqref="I13"/>
    </sheetView>
  </sheetViews>
  <sheetFormatPr defaultRowHeight="14.4" x14ac:dyDescent="0.3"/>
  <cols>
    <col min="1" max="1" width="5.44140625" style="303" bestFit="1" customWidth="1"/>
    <col min="2" max="2" width="31.5546875" style="303" customWidth="1"/>
    <col min="3" max="3" width="16.88671875" style="303" bestFit="1" customWidth="1"/>
    <col min="4" max="8" width="22.88671875" style="303" customWidth="1"/>
    <col min="9" max="10" width="8.88671875" style="179"/>
    <col min="11" max="11" width="13.33203125" style="179" bestFit="1" customWidth="1"/>
    <col min="12" max="16384" width="8.88671875" style="179"/>
  </cols>
  <sheetData>
    <row r="1" spans="1:11" x14ac:dyDescent="0.3">
      <c r="A1" s="323"/>
      <c r="B1" s="325"/>
      <c r="C1" s="267"/>
      <c r="D1" s="268"/>
      <c r="E1" s="268"/>
      <c r="F1" s="268"/>
      <c r="G1" s="268"/>
      <c r="H1" s="337"/>
    </row>
    <row r="2" spans="1:11" x14ac:dyDescent="0.3">
      <c r="A2" s="326"/>
      <c r="B2" s="328"/>
      <c r="C2" s="270" t="s">
        <v>92</v>
      </c>
      <c r="D2" s="271"/>
      <c r="E2" s="271"/>
      <c r="F2" s="271"/>
      <c r="G2" s="271"/>
      <c r="H2" s="338"/>
    </row>
    <row r="3" spans="1:11" x14ac:dyDescent="0.3">
      <c r="A3" s="326"/>
      <c r="B3" s="328"/>
      <c r="C3" s="339" t="str">
        <f>ORÇAMENTO!C3</f>
        <v>SETOR</v>
      </c>
      <c r="D3" s="274" t="str">
        <f>ORÇAMENTO!D3</f>
        <v>SECRETARIA MUNICIPAL DE OBRAS</v>
      </c>
      <c r="E3" s="274"/>
      <c r="F3" s="274"/>
      <c r="G3" s="274"/>
      <c r="H3" s="340"/>
    </row>
    <row r="4" spans="1:11" x14ac:dyDescent="0.3">
      <c r="A4" s="326"/>
      <c r="B4" s="328"/>
      <c r="C4" s="339" t="str">
        <f>ORÇAMENTO!C4</f>
        <v>OBJETO</v>
      </c>
      <c r="D4" s="327" t="str">
        <f>ORÇAMENTO!D4</f>
        <v>URBANIZAÇÃO DA REPRESA DA BICA</v>
      </c>
      <c r="E4" s="327"/>
      <c r="F4" s="327"/>
      <c r="G4" s="327"/>
      <c r="H4" s="328"/>
    </row>
    <row r="5" spans="1:11" x14ac:dyDescent="0.3">
      <c r="A5" s="326"/>
      <c r="B5" s="328"/>
      <c r="C5" s="339" t="str">
        <f>ORÇAMENTO!C5</f>
        <v>PROCESSO</v>
      </c>
      <c r="D5" s="275">
        <f>ORÇAMENTO!D5</f>
        <v>2021029282</v>
      </c>
      <c r="E5" s="327"/>
      <c r="F5" s="327"/>
      <c r="G5" s="327"/>
      <c r="H5" s="328"/>
    </row>
    <row r="6" spans="1:11" ht="30" customHeight="1" x14ac:dyDescent="0.3">
      <c r="A6" s="326"/>
      <c r="B6" s="328"/>
      <c r="C6" s="339" t="str">
        <f>ORÇAMENTO!C6</f>
        <v>ENDEREÇO</v>
      </c>
      <c r="D6" s="341" t="str">
        <f>ORÇAMENTO!D6</f>
        <v>REPRESA DA BICA</v>
      </c>
      <c r="E6" s="341"/>
      <c r="F6" s="341"/>
      <c r="G6" s="341"/>
      <c r="H6" s="342"/>
    </row>
    <row r="7" spans="1:11" x14ac:dyDescent="0.3">
      <c r="A7" s="326"/>
      <c r="B7" s="328"/>
      <c r="C7" s="339" t="str">
        <f>ORÇAMENTO!C7</f>
        <v>TABELAS</v>
      </c>
      <c r="D7" s="327" t="str">
        <f>ORÇAMENTO!D7</f>
        <v>TABELA GOINFRA 148 - CUSTOS DE OBRAS CIVIS - NOVEMBRO/2020 - DESONERADA - DATA BASE: 30/06/2021</v>
      </c>
      <c r="E7" s="327"/>
      <c r="F7" s="327"/>
      <c r="G7" s="327"/>
      <c r="H7" s="328"/>
    </row>
    <row r="8" spans="1:11" x14ac:dyDescent="0.3">
      <c r="A8" s="326"/>
      <c r="B8" s="328"/>
      <c r="C8" s="339"/>
      <c r="D8" s="341" t="str">
        <f>ORÇAMENTO!D8</f>
        <v>TABELA SINAPI PCI.817.01 - CUSTO DE COMPOSIÇÕES - SINTÉTITICO - AGOSTO/2021 - COM DESONERAÇÃO - DATA BASE: 13/08/2021</v>
      </c>
      <c r="E8" s="341"/>
      <c r="F8" s="341"/>
      <c r="G8" s="341"/>
      <c r="H8" s="342"/>
    </row>
    <row r="9" spans="1:11" ht="29.25" customHeight="1" x14ac:dyDescent="0.3">
      <c r="A9" s="326"/>
      <c r="B9" s="328"/>
      <c r="C9" s="339"/>
      <c r="D9" s="341" t="str">
        <f>'MEMÓRIA DE CÁLCULO'!B9</f>
        <v xml:space="preserve"> TABELA DE TERRAPLENAGEM, PAVIMENTAÇÃO E OBRAS DE ARTE ESPECIAIS - JUL/21 - COM DESONERAÇÃO - T152 DATA BASE: 30/06/2021</v>
      </c>
      <c r="E9" s="341"/>
      <c r="F9" s="341"/>
      <c r="G9" s="341"/>
      <c r="H9" s="342"/>
    </row>
    <row r="10" spans="1:11" ht="15" thickBot="1" x14ac:dyDescent="0.35">
      <c r="A10" s="329"/>
      <c r="B10" s="331"/>
      <c r="C10" s="343" t="str">
        <f>ORÇAMENTO!C10</f>
        <v xml:space="preserve">DATA </v>
      </c>
      <c r="D10" s="344" t="str">
        <f>ORÇAMENTO!D10</f>
        <v>Segunda -feira 13 de setembro de 2021</v>
      </c>
      <c r="E10" s="344"/>
      <c r="F10" s="344"/>
      <c r="G10" s="344"/>
      <c r="H10" s="345"/>
    </row>
    <row r="11" spans="1:11" x14ac:dyDescent="0.3">
      <c r="A11" s="346"/>
      <c r="B11" s="347"/>
      <c r="C11" s="347"/>
      <c r="D11" s="347"/>
      <c r="E11" s="347"/>
      <c r="F11" s="347"/>
      <c r="G11" s="347"/>
      <c r="H11" s="347"/>
    </row>
    <row r="12" spans="1:11" x14ac:dyDescent="0.3">
      <c r="A12" s="362" t="s">
        <v>1</v>
      </c>
      <c r="B12" s="362" t="s">
        <v>68</v>
      </c>
      <c r="C12" s="362"/>
      <c r="D12" s="381" t="s">
        <v>85</v>
      </c>
      <c r="E12" s="382"/>
      <c r="F12" s="382"/>
      <c r="G12" s="382"/>
      <c r="H12" s="382"/>
    </row>
    <row r="13" spans="1:11" x14ac:dyDescent="0.3">
      <c r="A13" s="362"/>
      <c r="B13" s="362"/>
      <c r="C13" s="362"/>
      <c r="D13" s="392" t="s">
        <v>86</v>
      </c>
      <c r="E13" s="392" t="s">
        <v>87</v>
      </c>
      <c r="F13" s="392" t="s">
        <v>88</v>
      </c>
      <c r="G13" s="392" t="s">
        <v>89</v>
      </c>
      <c r="H13" s="392" t="s">
        <v>90</v>
      </c>
    </row>
    <row r="14" spans="1:11" x14ac:dyDescent="0.3">
      <c r="A14" s="363">
        <f>1</f>
        <v>1</v>
      </c>
      <c r="B14" s="363" t="s">
        <v>9</v>
      </c>
      <c r="C14" s="364">
        <f>ORÇAMENTO!I21</f>
        <v>7879.7</v>
      </c>
      <c r="D14" s="348">
        <v>0.68</v>
      </c>
      <c r="E14" s="348">
        <v>0.08</v>
      </c>
      <c r="F14" s="348">
        <v>0.08</v>
      </c>
      <c r="G14" s="348">
        <v>0.08</v>
      </c>
      <c r="H14" s="348">
        <v>0.08</v>
      </c>
      <c r="I14" s="349">
        <f>SUM(D14:H14)</f>
        <v>0.99999999999999989</v>
      </c>
      <c r="K14" s="350">
        <f>C16/$H$75</f>
        <v>1.3234738626833036E-2</v>
      </c>
    </row>
    <row r="15" spans="1:11" ht="8.1" customHeight="1" x14ac:dyDescent="0.3">
      <c r="A15" s="363"/>
      <c r="B15" s="365"/>
      <c r="C15" s="366"/>
      <c r="D15" s="351"/>
      <c r="E15" s="351"/>
      <c r="F15" s="351"/>
      <c r="G15" s="351"/>
      <c r="H15" s="351"/>
      <c r="I15" s="349"/>
      <c r="K15" s="220"/>
    </row>
    <row r="16" spans="1:11" x14ac:dyDescent="0.3">
      <c r="A16" s="363"/>
      <c r="B16" s="363"/>
      <c r="C16" s="367">
        <f>ORÇAMENTO!J21</f>
        <v>9761.3723599999994</v>
      </c>
      <c r="D16" s="352">
        <f>D14*$C$16</f>
        <v>6637.7332047999998</v>
      </c>
      <c r="E16" s="352">
        <f t="shared" ref="E16:H16" si="0">E14*$C$16</f>
        <v>780.9097888</v>
      </c>
      <c r="F16" s="352">
        <f t="shared" si="0"/>
        <v>780.9097888</v>
      </c>
      <c r="G16" s="352">
        <f t="shared" si="0"/>
        <v>780.9097888</v>
      </c>
      <c r="H16" s="352">
        <f t="shared" si="0"/>
        <v>780.9097888</v>
      </c>
      <c r="I16" s="349"/>
      <c r="K16" s="220"/>
    </row>
    <row r="17" spans="1:11" x14ac:dyDescent="0.3">
      <c r="A17" s="368">
        <f>A14+1</f>
        <v>2</v>
      </c>
      <c r="B17" s="368" t="str">
        <f>ORÇAMENTO!D23</f>
        <v>TRANSPORTES</v>
      </c>
      <c r="C17" s="364">
        <f>ORÇAMENTO!I26</f>
        <v>2324.0700000000002</v>
      </c>
      <c r="D17" s="348">
        <v>0.48</v>
      </c>
      <c r="E17" s="348">
        <v>0.13</v>
      </c>
      <c r="F17" s="348">
        <v>0.13</v>
      </c>
      <c r="G17" s="348">
        <v>0.13</v>
      </c>
      <c r="H17" s="348">
        <v>0.13</v>
      </c>
      <c r="I17" s="349">
        <f>SUM(D17:H17)</f>
        <v>1</v>
      </c>
      <c r="K17" s="350">
        <f>C19/$H$75</f>
        <v>3.9035063518235279E-3</v>
      </c>
    </row>
    <row r="18" spans="1:11" ht="8.1" customHeight="1" x14ac:dyDescent="0.3">
      <c r="A18" s="369"/>
      <c r="B18" s="370"/>
      <c r="C18" s="371"/>
      <c r="D18" s="351"/>
      <c r="E18" s="351"/>
      <c r="F18" s="351"/>
      <c r="G18" s="351"/>
      <c r="H18" s="351"/>
      <c r="I18" s="349"/>
      <c r="K18" s="220"/>
    </row>
    <row r="19" spans="1:11" x14ac:dyDescent="0.3">
      <c r="A19" s="372"/>
      <c r="B19" s="372"/>
      <c r="C19" s="367">
        <f>ORÇAMENTO!J26</f>
        <v>2879.0579159999998</v>
      </c>
      <c r="D19" s="352">
        <f>D17*$C$19</f>
        <v>1381.9477996799999</v>
      </c>
      <c r="E19" s="352">
        <f t="shared" ref="E19:H19" si="1">E17*$C$19</f>
        <v>374.27752907999997</v>
      </c>
      <c r="F19" s="352">
        <f t="shared" si="1"/>
        <v>374.27752907999997</v>
      </c>
      <c r="G19" s="352">
        <f t="shared" si="1"/>
        <v>374.27752907999997</v>
      </c>
      <c r="H19" s="352">
        <f t="shared" si="1"/>
        <v>374.27752907999997</v>
      </c>
      <c r="I19" s="349"/>
      <c r="K19" s="220"/>
    </row>
    <row r="20" spans="1:11" x14ac:dyDescent="0.3">
      <c r="A20" s="368">
        <f>A17+1</f>
        <v>3</v>
      </c>
      <c r="B20" s="363" t="str">
        <f>ORÇAMENTO!D28</f>
        <v>SERVICO EM TERRA</v>
      </c>
      <c r="C20" s="364">
        <f>ORÇAMENTO!I36</f>
        <v>20467.060000000001</v>
      </c>
      <c r="D20" s="348">
        <v>0.77</v>
      </c>
      <c r="E20" s="353">
        <v>0.23</v>
      </c>
      <c r="F20" s="353"/>
      <c r="G20" s="353"/>
      <c r="H20" s="353"/>
      <c r="I20" s="349">
        <f>SUM(D20:H20)</f>
        <v>1</v>
      </c>
      <c r="K20" s="350">
        <f>C22/$H$75</f>
        <v>3.4376459707820016E-2</v>
      </c>
    </row>
    <row r="21" spans="1:11" ht="8.1" customHeight="1" x14ac:dyDescent="0.3">
      <c r="A21" s="369"/>
      <c r="B21" s="365"/>
      <c r="C21" s="371"/>
      <c r="D21" s="351"/>
      <c r="E21" s="351"/>
      <c r="F21" s="351"/>
      <c r="G21" s="351"/>
      <c r="H21" s="351"/>
      <c r="I21" s="349"/>
      <c r="K21" s="220"/>
    </row>
    <row r="22" spans="1:11" x14ac:dyDescent="0.3">
      <c r="A22" s="372"/>
      <c r="B22" s="363"/>
      <c r="C22" s="367">
        <f>ORÇAMENTO!J36</f>
        <v>25354.593927999998</v>
      </c>
      <c r="D22" s="352">
        <f>D20*C22</f>
        <v>19523.037324559999</v>
      </c>
      <c r="E22" s="352">
        <f>E20*C22</f>
        <v>5831.5566034399999</v>
      </c>
      <c r="F22" s="352">
        <f t="shared" ref="F22:H22" si="2">F20*$C$22</f>
        <v>0</v>
      </c>
      <c r="G22" s="352">
        <f t="shared" si="2"/>
        <v>0</v>
      </c>
      <c r="H22" s="352">
        <f t="shared" si="2"/>
        <v>0</v>
      </c>
      <c r="I22" s="349"/>
      <c r="K22" s="220"/>
    </row>
    <row r="23" spans="1:11" x14ac:dyDescent="0.3">
      <c r="A23" s="368">
        <f>A20+1</f>
        <v>4</v>
      </c>
      <c r="B23" s="373" t="str">
        <f>ORÇAMENTO!D38</f>
        <v>FUNDACOES E SONDAGENS</v>
      </c>
      <c r="C23" s="364">
        <f>ORÇAMENTO!I47</f>
        <v>7677.26</v>
      </c>
      <c r="D23" s="348">
        <v>0.2</v>
      </c>
      <c r="E23" s="354"/>
      <c r="F23" s="354"/>
      <c r="G23" s="354"/>
      <c r="H23" s="354">
        <v>0.8</v>
      </c>
      <c r="I23" s="349">
        <f>SUM(D23:H23)</f>
        <v>1</v>
      </c>
      <c r="K23" s="350">
        <f>C25/$H$75</f>
        <v>1.2894720543959822E-2</v>
      </c>
    </row>
    <row r="24" spans="1:11" ht="8.1" customHeight="1" x14ac:dyDescent="0.3">
      <c r="A24" s="369"/>
      <c r="B24" s="374"/>
      <c r="C24" s="375"/>
      <c r="D24" s="351"/>
      <c r="E24" s="351"/>
      <c r="F24" s="351"/>
      <c r="G24" s="351"/>
      <c r="H24" s="351"/>
      <c r="I24" s="349"/>
      <c r="K24" s="220"/>
    </row>
    <row r="25" spans="1:11" x14ac:dyDescent="0.3">
      <c r="A25" s="372"/>
      <c r="B25" s="373"/>
      <c r="C25" s="367">
        <f>ORÇAMENTO!J47</f>
        <v>9510.589688</v>
      </c>
      <c r="D25" s="352">
        <f t="shared" ref="D25:H25" si="3">D23*$C$25</f>
        <v>1902.1179376</v>
      </c>
      <c r="E25" s="352">
        <f t="shared" si="3"/>
        <v>0</v>
      </c>
      <c r="F25" s="352">
        <f t="shared" si="3"/>
        <v>0</v>
      </c>
      <c r="G25" s="352">
        <f t="shared" si="3"/>
        <v>0</v>
      </c>
      <c r="H25" s="352">
        <f t="shared" si="3"/>
        <v>7608.4717504</v>
      </c>
      <c r="I25" s="349"/>
      <c r="K25" s="220"/>
    </row>
    <row r="26" spans="1:11" x14ac:dyDescent="0.3">
      <c r="A26" s="368">
        <f>A23+1</f>
        <v>5</v>
      </c>
      <c r="B26" s="373" t="str">
        <f>ORÇAMENTO!D49</f>
        <v>ESTRUTURA</v>
      </c>
      <c r="C26" s="364">
        <f>ORÇAMENTO!I59</f>
        <v>42933.72</v>
      </c>
      <c r="D26" s="348">
        <v>0.3</v>
      </c>
      <c r="E26" s="355">
        <v>0.47</v>
      </c>
      <c r="F26" s="355">
        <v>0.23</v>
      </c>
      <c r="G26" s="355"/>
      <c r="H26" s="355"/>
      <c r="I26" s="349">
        <f>SUM(D26:H26)</f>
        <v>1</v>
      </c>
      <c r="K26" s="350">
        <f>C28/$H$75</f>
        <v>7.2111446181660988E-2</v>
      </c>
    </row>
    <row r="27" spans="1:11" ht="8.1" customHeight="1" x14ac:dyDescent="0.3">
      <c r="A27" s="369"/>
      <c r="B27" s="374"/>
      <c r="C27" s="375"/>
      <c r="D27" s="351"/>
      <c r="E27" s="351"/>
      <c r="F27" s="351"/>
      <c r="G27" s="351"/>
      <c r="H27" s="351"/>
      <c r="I27" s="349"/>
      <c r="K27" s="220"/>
    </row>
    <row r="28" spans="1:11" x14ac:dyDescent="0.3">
      <c r="A28" s="372"/>
      <c r="B28" s="373"/>
      <c r="C28" s="367">
        <f>ORÇAMENTO!J59</f>
        <v>53186.292335999999</v>
      </c>
      <c r="D28" s="352">
        <f t="shared" ref="D28:H28" si="4">D26*$C$28</f>
        <v>15955.887700799998</v>
      </c>
      <c r="E28" s="352">
        <f t="shared" si="4"/>
        <v>24997.557397919998</v>
      </c>
      <c r="F28" s="352">
        <f t="shared" si="4"/>
        <v>12232.847237280001</v>
      </c>
      <c r="G28" s="352">
        <f t="shared" si="4"/>
        <v>0</v>
      </c>
      <c r="H28" s="352">
        <f t="shared" si="4"/>
        <v>0</v>
      </c>
      <c r="I28" s="349"/>
      <c r="K28" s="220"/>
    </row>
    <row r="29" spans="1:11" x14ac:dyDescent="0.3">
      <c r="A29" s="368">
        <f>A26+1</f>
        <v>6</v>
      </c>
      <c r="B29" s="376" t="str">
        <f>ORÇAMENTO!D61</f>
        <v>INST. ELET./TELEFONICA/CABEAMENTO ESTRUTURADO</v>
      </c>
      <c r="C29" s="364">
        <f>ORÇAMENTO!I82</f>
        <v>190579.35</v>
      </c>
      <c r="D29" s="348"/>
      <c r="E29" s="355">
        <v>0.05</v>
      </c>
      <c r="F29" s="355">
        <v>0.47</v>
      </c>
      <c r="G29" s="355">
        <v>0.48</v>
      </c>
      <c r="H29" s="355"/>
      <c r="I29" s="349">
        <f>SUM(D29:H29)</f>
        <v>1</v>
      </c>
      <c r="K29" s="350">
        <f>C31/$H$75</f>
        <v>0.32009694340161843</v>
      </c>
    </row>
    <row r="30" spans="1:11" ht="8.1" customHeight="1" x14ac:dyDescent="0.3">
      <c r="A30" s="369"/>
      <c r="B30" s="377"/>
      <c r="C30" s="375"/>
      <c r="D30" s="351"/>
      <c r="E30" s="351"/>
      <c r="F30" s="351"/>
      <c r="G30" s="351"/>
      <c r="H30" s="351"/>
      <c r="I30" s="349"/>
      <c r="K30" s="220"/>
    </row>
    <row r="31" spans="1:11" ht="27" customHeight="1" x14ac:dyDescent="0.3">
      <c r="A31" s="372"/>
      <c r="B31" s="378"/>
      <c r="C31" s="367">
        <f>ORÇAMENTO!J82</f>
        <v>236089.69877999998</v>
      </c>
      <c r="D31" s="352">
        <f t="shared" ref="D31:H31" si="5">D29*$C$31</f>
        <v>0</v>
      </c>
      <c r="E31" s="352">
        <f t="shared" si="5"/>
        <v>11804.484939</v>
      </c>
      <c r="F31" s="352">
        <f t="shared" si="5"/>
        <v>110962.15842659998</v>
      </c>
      <c r="G31" s="352">
        <f t="shared" si="5"/>
        <v>113323.05541439999</v>
      </c>
      <c r="H31" s="352">
        <f t="shared" si="5"/>
        <v>0</v>
      </c>
      <c r="I31" s="349"/>
      <c r="K31" s="220"/>
    </row>
    <row r="32" spans="1:11" x14ac:dyDescent="0.3">
      <c r="A32" s="368">
        <f>A29+1</f>
        <v>7</v>
      </c>
      <c r="B32" s="368" t="str">
        <f>ORÇAMENTO!D84</f>
        <v>INSTALAÇÕES HIDROSSANITÁRIAS</v>
      </c>
      <c r="C32" s="379">
        <f>ORÇAMENTO!I91</f>
        <v>819.11</v>
      </c>
      <c r="D32" s="348"/>
      <c r="E32" s="355">
        <v>0.86</v>
      </c>
      <c r="F32" s="355"/>
      <c r="G32" s="355"/>
      <c r="H32" s="355">
        <v>0.14000000000000001</v>
      </c>
      <c r="I32" s="349">
        <f>SUM(D32:H32)</f>
        <v>1</v>
      </c>
      <c r="K32" s="350">
        <f>C34/$H$75</f>
        <v>1.3757765849747082E-3</v>
      </c>
    </row>
    <row r="33" spans="1:11" ht="8.1" customHeight="1" x14ac:dyDescent="0.3">
      <c r="A33" s="369"/>
      <c r="B33" s="369"/>
      <c r="C33" s="380"/>
      <c r="D33" s="351"/>
      <c r="E33" s="351"/>
      <c r="F33" s="351"/>
      <c r="G33" s="351"/>
      <c r="H33" s="351"/>
      <c r="I33" s="349"/>
      <c r="K33" s="220"/>
    </row>
    <row r="34" spans="1:11" x14ac:dyDescent="0.3">
      <c r="A34" s="372"/>
      <c r="B34" s="372"/>
      <c r="C34" s="367">
        <f>ORÇAMENTO!J91</f>
        <v>1014.7134679999999</v>
      </c>
      <c r="D34" s="352">
        <f t="shared" ref="D34:H34" si="6">D32*$C$34</f>
        <v>0</v>
      </c>
      <c r="E34" s="352">
        <f t="shared" si="6"/>
        <v>872.65358247999995</v>
      </c>
      <c r="F34" s="352">
        <f t="shared" si="6"/>
        <v>0</v>
      </c>
      <c r="G34" s="352">
        <f t="shared" si="6"/>
        <v>0</v>
      </c>
      <c r="H34" s="352">
        <f t="shared" si="6"/>
        <v>142.05988551999999</v>
      </c>
      <c r="I34" s="349"/>
      <c r="K34" s="220"/>
    </row>
    <row r="35" spans="1:11" x14ac:dyDescent="0.3">
      <c r="A35" s="368">
        <f>A32+1</f>
        <v>8</v>
      </c>
      <c r="B35" s="373" t="str">
        <f>ORÇAMENTO!D93</f>
        <v xml:space="preserve"> ALVENARIAS E DIVISORIAS</v>
      </c>
      <c r="C35" s="364">
        <f>ORÇAMENTO!I95</f>
        <v>4066.9646400000006</v>
      </c>
      <c r="D35" s="348"/>
      <c r="E35" s="355">
        <v>0.96</v>
      </c>
      <c r="F35" s="355">
        <v>0.04</v>
      </c>
      <c r="G35" s="355"/>
      <c r="H35" s="355"/>
      <c r="I35" s="349">
        <f>SUM(D35:H35)</f>
        <v>1</v>
      </c>
      <c r="K35" s="350">
        <f>C37/$H$75</f>
        <v>6.8308709741452239E-3</v>
      </c>
    </row>
    <row r="36" spans="1:11" ht="8.1" customHeight="1" x14ac:dyDescent="0.3">
      <c r="A36" s="369"/>
      <c r="B36" s="374"/>
      <c r="C36" s="375"/>
      <c r="D36" s="351"/>
      <c r="E36" s="351"/>
      <c r="F36" s="351"/>
      <c r="G36" s="351"/>
      <c r="H36" s="351"/>
      <c r="I36" s="349"/>
      <c r="K36" s="220"/>
    </row>
    <row r="37" spans="1:11" x14ac:dyDescent="0.3">
      <c r="A37" s="372"/>
      <c r="B37" s="373"/>
      <c r="C37" s="367">
        <f>ORÇAMENTO!J95</f>
        <v>5038.1557960320006</v>
      </c>
      <c r="D37" s="352">
        <f t="shared" ref="D37:H37" si="7">D35*$C$37</f>
        <v>0</v>
      </c>
      <c r="E37" s="352">
        <f t="shared" si="7"/>
        <v>4836.62956419072</v>
      </c>
      <c r="F37" s="352">
        <f t="shared" si="7"/>
        <v>201.52623184128004</v>
      </c>
      <c r="G37" s="352">
        <f t="shared" si="7"/>
        <v>0</v>
      </c>
      <c r="H37" s="352">
        <f t="shared" si="7"/>
        <v>0</v>
      </c>
      <c r="I37" s="349"/>
      <c r="K37" s="220"/>
    </row>
    <row r="38" spans="1:11" x14ac:dyDescent="0.3">
      <c r="A38" s="368">
        <f>A35+1</f>
        <v>9</v>
      </c>
      <c r="B38" s="373" t="str">
        <f>ORÇAMENTO!D97</f>
        <v>ALVENARIA AUTO-PORTANTE</v>
      </c>
      <c r="C38" s="364">
        <f>ORÇAMENTO!I100</f>
        <v>1304.7062880000001</v>
      </c>
      <c r="D38" s="348"/>
      <c r="E38" s="355"/>
      <c r="F38" s="355">
        <v>1</v>
      </c>
      <c r="G38" s="355"/>
      <c r="H38" s="355"/>
      <c r="I38" s="349">
        <f>SUM(D38:H38)</f>
        <v>1</v>
      </c>
      <c r="K38" s="350">
        <f>C40/$H$75</f>
        <v>2.1913837717762795E-3</v>
      </c>
    </row>
    <row r="39" spans="1:11" ht="8.1" customHeight="1" x14ac:dyDescent="0.3">
      <c r="A39" s="369"/>
      <c r="B39" s="374"/>
      <c r="C39" s="375"/>
      <c r="D39" s="351"/>
      <c r="E39" s="351"/>
      <c r="F39" s="351"/>
      <c r="G39" s="351"/>
      <c r="H39" s="351"/>
      <c r="I39" s="349"/>
      <c r="K39" s="220"/>
    </row>
    <row r="40" spans="1:11" x14ac:dyDescent="0.3">
      <c r="A40" s="372"/>
      <c r="B40" s="373"/>
      <c r="C40" s="367">
        <f>ORÇAMENTO!J100</f>
        <v>1616.2701495744</v>
      </c>
      <c r="D40" s="352">
        <f>D38*$C$40</f>
        <v>0</v>
      </c>
      <c r="E40" s="352">
        <f t="shared" ref="E40:H40" si="8">E38*$C$40</f>
        <v>0</v>
      </c>
      <c r="F40" s="352">
        <f t="shared" si="8"/>
        <v>1616.2701495744</v>
      </c>
      <c r="G40" s="352">
        <f t="shared" si="8"/>
        <v>0</v>
      </c>
      <c r="H40" s="352">
        <f t="shared" si="8"/>
        <v>0</v>
      </c>
      <c r="I40" s="349"/>
      <c r="K40" s="220"/>
    </row>
    <row r="41" spans="1:11" x14ac:dyDescent="0.3">
      <c r="A41" s="368">
        <f>A38+1</f>
        <v>10</v>
      </c>
      <c r="B41" s="373" t="str">
        <f>ORÇAMENTO!D102</f>
        <v>IMPERMEABILIZACAO</v>
      </c>
      <c r="C41" s="364">
        <f>ORÇAMENTO!I106</f>
        <v>4374.57</v>
      </c>
      <c r="D41" s="348">
        <v>0.33</v>
      </c>
      <c r="E41" s="355">
        <v>0.34</v>
      </c>
      <c r="F41" s="355">
        <v>0.33</v>
      </c>
      <c r="G41" s="355"/>
      <c r="H41" s="355"/>
      <c r="I41" s="349">
        <f>SUM(D41:H41)</f>
        <v>1</v>
      </c>
      <c r="K41" s="350">
        <f>C43/$H$75</f>
        <v>7.3475247223606221E-3</v>
      </c>
    </row>
    <row r="42" spans="1:11" ht="8.1" customHeight="1" x14ac:dyDescent="0.3">
      <c r="A42" s="369"/>
      <c r="B42" s="374"/>
      <c r="C42" s="375"/>
      <c r="D42" s="351"/>
      <c r="E42" s="351"/>
      <c r="F42" s="351"/>
      <c r="G42" s="351"/>
      <c r="H42" s="351"/>
      <c r="I42" s="349"/>
      <c r="K42" s="220"/>
    </row>
    <row r="43" spans="1:11" x14ac:dyDescent="0.3">
      <c r="A43" s="372"/>
      <c r="B43" s="373"/>
      <c r="C43" s="367">
        <f>ORÇAMENTO!J106</f>
        <v>5419.2173159999993</v>
      </c>
      <c r="D43" s="352">
        <f>D41*$C$43</f>
        <v>1788.3417142799999</v>
      </c>
      <c r="E43" s="352">
        <f t="shared" ref="E43:H43" si="9">E41*$C$43</f>
        <v>1842.5338874399999</v>
      </c>
      <c r="F43" s="352">
        <f t="shared" si="9"/>
        <v>1788.3417142799999</v>
      </c>
      <c r="G43" s="352">
        <f t="shared" si="9"/>
        <v>0</v>
      </c>
      <c r="H43" s="352">
        <f t="shared" si="9"/>
        <v>0</v>
      </c>
      <c r="I43" s="349"/>
      <c r="K43" s="220"/>
    </row>
    <row r="44" spans="1:11" x14ac:dyDescent="0.3">
      <c r="A44" s="368">
        <f>A41+1</f>
        <v>11</v>
      </c>
      <c r="B44" s="373" t="str">
        <f>ORÇAMENTO!D108</f>
        <v>ESTRUTURA DE MADEIRA</v>
      </c>
      <c r="C44" s="364">
        <f>ORÇAMENTO!I111</f>
        <v>6746.22</v>
      </c>
      <c r="D44" s="348"/>
      <c r="E44" s="355"/>
      <c r="F44" s="355">
        <v>1</v>
      </c>
      <c r="G44" s="355"/>
      <c r="H44" s="355"/>
      <c r="I44" s="349">
        <f>SUM(D44:H44)</f>
        <v>1</v>
      </c>
      <c r="K44" s="350">
        <f>C46/$H$75</f>
        <v>1.1330946409014756E-2</v>
      </c>
    </row>
    <row r="45" spans="1:11" ht="8.1" customHeight="1" x14ac:dyDescent="0.3">
      <c r="A45" s="369"/>
      <c r="B45" s="374"/>
      <c r="C45" s="375"/>
      <c r="D45" s="351"/>
      <c r="E45" s="351"/>
      <c r="F45" s="351"/>
      <c r="G45" s="351"/>
      <c r="H45" s="351"/>
      <c r="I45" s="349"/>
      <c r="K45" s="220"/>
    </row>
    <row r="46" spans="1:11" x14ac:dyDescent="0.3">
      <c r="A46" s="372"/>
      <c r="B46" s="373"/>
      <c r="C46" s="367">
        <f>ORÇAMENTO!J111</f>
        <v>8357.2173359999997</v>
      </c>
      <c r="D46" s="352">
        <f t="shared" ref="D46:H46" si="10">D44*$C$46</f>
        <v>0</v>
      </c>
      <c r="E46" s="352">
        <f t="shared" si="10"/>
        <v>0</v>
      </c>
      <c r="F46" s="352">
        <f t="shared" si="10"/>
        <v>8357.2173359999997</v>
      </c>
      <c r="G46" s="352">
        <f t="shared" si="10"/>
        <v>0</v>
      </c>
      <c r="H46" s="352">
        <f t="shared" si="10"/>
        <v>0</v>
      </c>
      <c r="I46" s="349"/>
      <c r="K46" s="220"/>
    </row>
    <row r="47" spans="1:11" x14ac:dyDescent="0.3">
      <c r="A47" s="368">
        <f>A44+1</f>
        <v>12</v>
      </c>
      <c r="B47" s="376" t="str">
        <f>ORÇAMENTO!D113</f>
        <v>ESQUADRIAS METÁLICAS - ( OBS.: 1- OS VIDROS NÃO ESTÃO INCLUSOS NAS ESQUADRIAS; 2- JÁ ESTÁ CONSIDERADO NO CUSTO DAS ESQUADRIAS DE ALUMÍNIO O CONTRAMARCO )</v>
      </c>
      <c r="C47" s="364">
        <f>ORÇAMENTO!I116</f>
        <v>27556.080000000002</v>
      </c>
      <c r="D47" s="348"/>
      <c r="E47" s="354"/>
      <c r="F47" s="354"/>
      <c r="G47" s="354">
        <v>1</v>
      </c>
      <c r="H47" s="354"/>
      <c r="I47" s="349">
        <f>SUM(D47:H47)</f>
        <v>1</v>
      </c>
      <c r="K47" s="350">
        <f>C49/$H$75</f>
        <v>4.6283172757858967E-2</v>
      </c>
    </row>
    <row r="48" spans="1:11" ht="8.1" customHeight="1" x14ac:dyDescent="0.3">
      <c r="A48" s="369"/>
      <c r="B48" s="377"/>
      <c r="C48" s="375"/>
      <c r="D48" s="351"/>
      <c r="E48" s="351"/>
      <c r="F48" s="351"/>
      <c r="G48" s="351"/>
      <c r="H48" s="351"/>
      <c r="I48" s="349"/>
      <c r="K48" s="220"/>
    </row>
    <row r="49" spans="1:11" x14ac:dyDescent="0.3">
      <c r="A49" s="372"/>
      <c r="B49" s="378"/>
      <c r="C49" s="367">
        <f>ORÇAMENTO!J116</f>
        <v>34136.471903999998</v>
      </c>
      <c r="D49" s="352">
        <f t="shared" ref="D49:H49" si="11">D47*$C$49</f>
        <v>0</v>
      </c>
      <c r="E49" s="352">
        <f t="shared" si="11"/>
        <v>0</v>
      </c>
      <c r="F49" s="352">
        <f t="shared" si="11"/>
        <v>0</v>
      </c>
      <c r="G49" s="352">
        <f t="shared" si="11"/>
        <v>34136.471903999998</v>
      </c>
      <c r="H49" s="352">
        <f t="shared" si="11"/>
        <v>0</v>
      </c>
      <c r="I49" s="349"/>
      <c r="K49" s="220"/>
    </row>
    <row r="50" spans="1:11" x14ac:dyDescent="0.3">
      <c r="A50" s="368">
        <f>A47+1</f>
        <v>13</v>
      </c>
      <c r="B50" s="373" t="str">
        <f>ORÇAMENTO!D118</f>
        <v>ESTRUTURAS METALICAS</v>
      </c>
      <c r="C50" s="364">
        <f>ORÇAMENTO!I120</f>
        <v>10263.56</v>
      </c>
      <c r="D50" s="348"/>
      <c r="E50" s="355"/>
      <c r="F50" s="355">
        <v>1</v>
      </c>
      <c r="G50" s="355"/>
      <c r="H50" s="355"/>
      <c r="I50" s="349">
        <f>SUM(D50:H50)</f>
        <v>1</v>
      </c>
      <c r="K50" s="350">
        <f>C52/$H$75</f>
        <v>1.7238668220975223E-2</v>
      </c>
    </row>
    <row r="51" spans="1:11" ht="8.1" customHeight="1" x14ac:dyDescent="0.3">
      <c r="A51" s="369"/>
      <c r="B51" s="374"/>
      <c r="C51" s="375"/>
      <c r="D51" s="351"/>
      <c r="E51" s="351"/>
      <c r="F51" s="351"/>
      <c r="G51" s="351"/>
      <c r="H51" s="351"/>
      <c r="I51" s="349"/>
      <c r="K51" s="220"/>
    </row>
    <row r="52" spans="1:11" x14ac:dyDescent="0.3">
      <c r="A52" s="372"/>
      <c r="B52" s="373"/>
      <c r="C52" s="367">
        <f>ORÇAMENTO!J120</f>
        <v>12714.498127999997</v>
      </c>
      <c r="D52" s="352">
        <f t="shared" ref="D52:H52" si="12">D50*$C$52</f>
        <v>0</v>
      </c>
      <c r="E52" s="352">
        <f t="shared" si="12"/>
        <v>0</v>
      </c>
      <c r="F52" s="352">
        <f t="shared" si="12"/>
        <v>12714.498127999997</v>
      </c>
      <c r="G52" s="352">
        <f t="shared" si="12"/>
        <v>0</v>
      </c>
      <c r="H52" s="352">
        <f t="shared" si="12"/>
        <v>0</v>
      </c>
      <c r="I52" s="349"/>
      <c r="K52" s="220"/>
    </row>
    <row r="53" spans="1:11" x14ac:dyDescent="0.3">
      <c r="A53" s="368">
        <f>A50+1</f>
        <v>14</v>
      </c>
      <c r="B53" s="373" t="str">
        <f>ORÇAMENTO!D122</f>
        <v>REVESTIMENTO DE PAREDES</v>
      </c>
      <c r="C53" s="364">
        <f>ORÇAMENTO!I125</f>
        <v>5496.26</v>
      </c>
      <c r="D53" s="348"/>
      <c r="E53" s="355"/>
      <c r="F53" s="355"/>
      <c r="G53" s="355">
        <v>1</v>
      </c>
      <c r="H53" s="355"/>
      <c r="I53" s="349">
        <f>SUM(D53:H53)</f>
        <v>1</v>
      </c>
      <c r="K53" s="350">
        <f>C55/$H$75</f>
        <v>9.2315144643980544E-3</v>
      </c>
    </row>
    <row r="54" spans="1:11" ht="8.1" customHeight="1" x14ac:dyDescent="0.3">
      <c r="A54" s="369"/>
      <c r="B54" s="374"/>
      <c r="C54" s="375"/>
      <c r="D54" s="351"/>
      <c r="E54" s="351"/>
      <c r="F54" s="351"/>
      <c r="G54" s="351"/>
      <c r="H54" s="351"/>
      <c r="I54" s="349"/>
      <c r="K54" s="220"/>
    </row>
    <row r="55" spans="1:11" x14ac:dyDescent="0.3">
      <c r="A55" s="372"/>
      <c r="B55" s="373"/>
      <c r="C55" s="367">
        <f>ORÇAMENTO!J125</f>
        <v>6808.7668880000001</v>
      </c>
      <c r="D55" s="352">
        <f t="shared" ref="D55:H55" si="13">D53*$C$55</f>
        <v>0</v>
      </c>
      <c r="E55" s="352">
        <f t="shared" si="13"/>
        <v>0</v>
      </c>
      <c r="F55" s="352">
        <f t="shared" si="13"/>
        <v>0</v>
      </c>
      <c r="G55" s="352">
        <f t="shared" si="13"/>
        <v>6808.7668880000001</v>
      </c>
      <c r="H55" s="352">
        <f t="shared" si="13"/>
        <v>0</v>
      </c>
      <c r="I55" s="349"/>
      <c r="K55" s="220"/>
    </row>
    <row r="56" spans="1:11" x14ac:dyDescent="0.3">
      <c r="A56" s="368">
        <f>A53+1</f>
        <v>15</v>
      </c>
      <c r="B56" s="376" t="str">
        <f>ORÇAMENTO!D127</f>
        <v>REVESTIMENTO DE PISO</v>
      </c>
      <c r="C56" s="364">
        <f>ORÇAMENTO!I133</f>
        <v>170008.59</v>
      </c>
      <c r="D56" s="348"/>
      <c r="E56" s="355">
        <v>0.4</v>
      </c>
      <c r="F56" s="355">
        <v>0.6</v>
      </c>
      <c r="G56" s="355"/>
      <c r="H56" s="355"/>
      <c r="I56" s="349">
        <f>SUM(D56:H56)</f>
        <v>1</v>
      </c>
      <c r="K56" s="350">
        <f>C58/$H$75</f>
        <v>0.28554630924609065</v>
      </c>
    </row>
    <row r="57" spans="1:11" ht="8.1" customHeight="1" x14ac:dyDescent="0.3">
      <c r="A57" s="369"/>
      <c r="B57" s="377"/>
      <c r="C57" s="375"/>
      <c r="D57" s="351"/>
      <c r="E57" s="351"/>
      <c r="F57" s="351"/>
      <c r="G57" s="351"/>
      <c r="H57" s="351"/>
      <c r="I57" s="349"/>
      <c r="K57" s="220"/>
    </row>
    <row r="58" spans="1:11" x14ac:dyDescent="0.3">
      <c r="A58" s="372"/>
      <c r="B58" s="378"/>
      <c r="C58" s="367">
        <f>ORÇAMENTO!J133</f>
        <v>210606.64129199999</v>
      </c>
      <c r="D58" s="352">
        <f t="shared" ref="D58:H58" si="14">D56*$C$58</f>
        <v>0</v>
      </c>
      <c r="E58" s="352">
        <f t="shared" si="14"/>
        <v>84242.656516799994</v>
      </c>
      <c r="F58" s="352">
        <f t="shared" si="14"/>
        <v>126363.98477519999</v>
      </c>
      <c r="G58" s="352">
        <f t="shared" si="14"/>
        <v>0</v>
      </c>
      <c r="H58" s="352">
        <f t="shared" si="14"/>
        <v>0</v>
      </c>
      <c r="I58" s="349"/>
      <c r="K58" s="220"/>
    </row>
    <row r="59" spans="1:11" x14ac:dyDescent="0.3">
      <c r="A59" s="368">
        <f>A56+1</f>
        <v>16</v>
      </c>
      <c r="B59" s="373" t="str">
        <f>ORÇAMENTO!D135</f>
        <v>FERRAGENS</v>
      </c>
      <c r="C59" s="364">
        <f>ORÇAMENTO!I139</f>
        <v>91.8</v>
      </c>
      <c r="D59" s="348"/>
      <c r="E59" s="355"/>
      <c r="F59" s="355">
        <v>1</v>
      </c>
      <c r="G59" s="355"/>
      <c r="H59" s="355"/>
      <c r="I59" s="349">
        <f>SUM(D59:H59)</f>
        <v>1</v>
      </c>
      <c r="K59" s="350">
        <f>C61/$H$75</f>
        <v>1.5418721600356266E-4</v>
      </c>
    </row>
    <row r="60" spans="1:11" ht="8.1" customHeight="1" x14ac:dyDescent="0.3">
      <c r="A60" s="369"/>
      <c r="B60" s="374"/>
      <c r="C60" s="375"/>
      <c r="D60" s="351"/>
      <c r="E60" s="351"/>
      <c r="F60" s="351"/>
      <c r="G60" s="351"/>
      <c r="H60" s="351"/>
      <c r="I60" s="349"/>
      <c r="K60" s="220"/>
    </row>
    <row r="61" spans="1:11" x14ac:dyDescent="0.3">
      <c r="A61" s="372"/>
      <c r="B61" s="373"/>
      <c r="C61" s="367">
        <f>ORÇAMENTO!J139</f>
        <v>113.72183999999999</v>
      </c>
      <c r="D61" s="352">
        <f t="shared" ref="D61:H61" si="15">D59*$C$61</f>
        <v>0</v>
      </c>
      <c r="E61" s="352">
        <f t="shared" si="15"/>
        <v>0</v>
      </c>
      <c r="F61" s="352">
        <f t="shared" si="15"/>
        <v>113.72183999999999</v>
      </c>
      <c r="G61" s="352">
        <f t="shared" si="15"/>
        <v>0</v>
      </c>
      <c r="H61" s="352">
        <f t="shared" si="15"/>
        <v>0</v>
      </c>
      <c r="I61" s="349"/>
      <c r="K61" s="220"/>
    </row>
    <row r="62" spans="1:11" x14ac:dyDescent="0.3">
      <c r="A62" s="368">
        <f>A59+1</f>
        <v>17</v>
      </c>
      <c r="B62" s="373" t="str">
        <f>ORÇAMENTO!D141</f>
        <v>ADMINISTRAÇÃO - MENSALISTAS</v>
      </c>
      <c r="C62" s="364">
        <f>ORÇAMENTO!I144</f>
        <v>30024</v>
      </c>
      <c r="D62" s="348">
        <v>0.2</v>
      </c>
      <c r="E62" s="355">
        <v>0.2</v>
      </c>
      <c r="F62" s="355">
        <v>0.2</v>
      </c>
      <c r="G62" s="355">
        <v>0.2</v>
      </c>
      <c r="H62" s="355">
        <v>0.2</v>
      </c>
      <c r="I62" s="349">
        <f>SUM(D62:H62)</f>
        <v>1</v>
      </c>
      <c r="K62" s="350">
        <f>C64/$H$75</f>
        <v>5.0428289469400492E-2</v>
      </c>
    </row>
    <row r="63" spans="1:11" ht="8.1" customHeight="1" x14ac:dyDescent="0.3">
      <c r="A63" s="369"/>
      <c r="B63" s="374"/>
      <c r="C63" s="375"/>
      <c r="D63" s="351"/>
      <c r="E63" s="351"/>
      <c r="F63" s="351"/>
      <c r="G63" s="351"/>
      <c r="H63" s="351"/>
      <c r="I63" s="349"/>
      <c r="K63" s="220"/>
    </row>
    <row r="64" spans="1:11" x14ac:dyDescent="0.3">
      <c r="A64" s="372"/>
      <c r="B64" s="373"/>
      <c r="C64" s="367">
        <f>ORÇAMENTO!J144</f>
        <v>37193.731199999995</v>
      </c>
      <c r="D64" s="352">
        <f t="shared" ref="D64:H64" si="16">D62*$C$64</f>
        <v>7438.7462399999995</v>
      </c>
      <c r="E64" s="352">
        <f t="shared" si="16"/>
        <v>7438.7462399999995</v>
      </c>
      <c r="F64" s="352">
        <f t="shared" si="16"/>
        <v>7438.7462399999995</v>
      </c>
      <c r="G64" s="352">
        <f t="shared" si="16"/>
        <v>7438.7462399999995</v>
      </c>
      <c r="H64" s="352">
        <f t="shared" si="16"/>
        <v>7438.7462399999995</v>
      </c>
      <c r="I64" s="349"/>
      <c r="K64" s="220"/>
    </row>
    <row r="65" spans="1:11" x14ac:dyDescent="0.3">
      <c r="A65" s="368">
        <f>A62+1</f>
        <v>18</v>
      </c>
      <c r="B65" s="376" t="str">
        <f>ORÇAMENTO!D146</f>
        <v>PINTURA</v>
      </c>
      <c r="C65" s="364">
        <f>ORÇAMENTO!I153</f>
        <v>15107.2</v>
      </c>
      <c r="D65" s="348"/>
      <c r="E65" s="355"/>
      <c r="F65" s="355"/>
      <c r="G65" s="355">
        <v>0.5</v>
      </c>
      <c r="H65" s="355">
        <v>0.5</v>
      </c>
      <c r="I65" s="349">
        <f>SUM(D65:H65)</f>
        <v>1</v>
      </c>
      <c r="K65" s="350">
        <f>C67/$H$75</f>
        <v>2.5374042588333576E-2</v>
      </c>
    </row>
    <row r="66" spans="1:11" ht="8.1" customHeight="1" x14ac:dyDescent="0.3">
      <c r="A66" s="369"/>
      <c r="B66" s="377"/>
      <c r="C66" s="375"/>
      <c r="D66" s="351"/>
      <c r="E66" s="351"/>
      <c r="F66" s="351"/>
      <c r="G66" s="351"/>
      <c r="H66" s="351"/>
      <c r="I66" s="349"/>
      <c r="K66" s="220"/>
    </row>
    <row r="67" spans="1:11" x14ac:dyDescent="0.3">
      <c r="A67" s="372"/>
      <c r="B67" s="378"/>
      <c r="C67" s="367">
        <f>ORÇAMENTO!J153</f>
        <v>18714.799360000001</v>
      </c>
      <c r="D67" s="352">
        <f t="shared" ref="D67:H67" si="17">D65*$C$67</f>
        <v>0</v>
      </c>
      <c r="E67" s="352">
        <f t="shared" si="17"/>
        <v>0</v>
      </c>
      <c r="F67" s="352">
        <f t="shared" si="17"/>
        <v>0</v>
      </c>
      <c r="G67" s="352">
        <f t="shared" si="17"/>
        <v>9357.3996800000004</v>
      </c>
      <c r="H67" s="352">
        <f t="shared" si="17"/>
        <v>9357.3996800000004</v>
      </c>
      <c r="I67" s="349"/>
      <c r="K67" s="220"/>
    </row>
    <row r="68" spans="1:11" x14ac:dyDescent="0.3">
      <c r="A68" s="368">
        <f>A65+1</f>
        <v>19</v>
      </c>
      <c r="B68" s="373" t="str">
        <f>ORÇAMENTO!D155</f>
        <v>DIVERSOS</v>
      </c>
      <c r="C68" s="364">
        <f>ORÇAMENTO!I169</f>
        <v>48792.47</v>
      </c>
      <c r="D68" s="348"/>
      <c r="E68" s="355"/>
      <c r="F68" s="355"/>
      <c r="G68" s="355">
        <v>0.5</v>
      </c>
      <c r="H68" s="355">
        <v>0.5</v>
      </c>
      <c r="I68" s="349">
        <f>SUM(D68:H68)</f>
        <v>1</v>
      </c>
      <c r="K68" s="350">
        <f>C70/$H$75</f>
        <v>8.0049498760951951E-2</v>
      </c>
    </row>
    <row r="69" spans="1:11" ht="8.1" customHeight="1" x14ac:dyDescent="0.3">
      <c r="A69" s="369"/>
      <c r="B69" s="374"/>
      <c r="C69" s="375"/>
      <c r="D69" s="351"/>
      <c r="E69" s="351"/>
      <c r="F69" s="351"/>
      <c r="G69" s="351"/>
      <c r="H69" s="351"/>
      <c r="I69" s="349"/>
    </row>
    <row r="70" spans="1:11" x14ac:dyDescent="0.3">
      <c r="A70" s="372"/>
      <c r="B70" s="373"/>
      <c r="C70" s="367">
        <f>ORÇAMENTO!J169</f>
        <v>59041.057528159996</v>
      </c>
      <c r="D70" s="352">
        <f t="shared" ref="D70:H70" si="18">D68*$C$70</f>
        <v>0</v>
      </c>
      <c r="E70" s="352">
        <f t="shared" si="18"/>
        <v>0</v>
      </c>
      <c r="F70" s="352">
        <f t="shared" si="18"/>
        <v>0</v>
      </c>
      <c r="G70" s="352">
        <f t="shared" si="18"/>
        <v>29520.528764079998</v>
      </c>
      <c r="H70" s="352">
        <f t="shared" si="18"/>
        <v>29520.528764079998</v>
      </c>
      <c r="I70" s="349"/>
    </row>
    <row r="71" spans="1:11" x14ac:dyDescent="0.3">
      <c r="A71" s="356"/>
      <c r="B71" s="387"/>
      <c r="C71" s="387"/>
      <c r="D71" s="387"/>
      <c r="E71" s="387"/>
      <c r="F71" s="387"/>
      <c r="G71" s="387"/>
      <c r="H71" s="387"/>
    </row>
    <row r="72" spans="1:11" ht="15" customHeight="1" x14ac:dyDescent="0.3">
      <c r="A72" s="381" t="s">
        <v>69</v>
      </c>
      <c r="B72" s="382"/>
      <c r="C72" s="383"/>
      <c r="D72" s="388">
        <f t="shared" ref="D72:H72" si="19">D74/VALOR_TOTAL</f>
        <v>7.4065898305692532E-2</v>
      </c>
      <c r="E72" s="388">
        <f t="shared" si="19"/>
        <v>0.19391319152032055</v>
      </c>
      <c r="F72" s="388">
        <f t="shared" si="19"/>
        <v>0.38362397799307557</v>
      </c>
      <c r="G72" s="388">
        <f t="shared" si="19"/>
        <v>0.27352488353944043</v>
      </c>
      <c r="H72" s="388">
        <f t="shared" si="19"/>
        <v>7.4872048641470873E-2</v>
      </c>
    </row>
    <row r="73" spans="1:11" x14ac:dyDescent="0.3">
      <c r="A73" s="381" t="s">
        <v>70</v>
      </c>
      <c r="B73" s="382"/>
      <c r="C73" s="383"/>
      <c r="D73" s="389">
        <f>D72</f>
        <v>7.4065898305692532E-2</v>
      </c>
      <c r="E73" s="389">
        <f t="shared" ref="E73:G73" si="20">D73+E72</f>
        <v>0.26797908982601309</v>
      </c>
      <c r="F73" s="389">
        <f t="shared" si="20"/>
        <v>0.65160306781908872</v>
      </c>
      <c r="G73" s="389">
        <f t="shared" si="20"/>
        <v>0.9251279513585291</v>
      </c>
      <c r="H73" s="389">
        <f>G73+H72</f>
        <v>1</v>
      </c>
    </row>
    <row r="74" spans="1:11" x14ac:dyDescent="0.3">
      <c r="A74" s="381" t="s">
        <v>71</v>
      </c>
      <c r="B74" s="382"/>
      <c r="C74" s="383"/>
      <c r="D74" s="390">
        <f>D25+D16+D19+D22+D28+D31+D34+D37+D40+D43+D46+D49+D52+D55+D58+D61+D64+D67+D70</f>
        <v>54627.81192172</v>
      </c>
      <c r="E74" s="390">
        <f t="shared" ref="E74:H74" si="21">E25+E16+E19+E22+E28+E31+E34+E37+E40+E43+E46+E49+E52+E55+E58+E61+E64+E67+E70</f>
        <v>143022.00604915072</v>
      </c>
      <c r="F74" s="390">
        <f t="shared" si="21"/>
        <v>282944.49939665571</v>
      </c>
      <c r="G74" s="390">
        <f t="shared" si="21"/>
        <v>201740.15620836001</v>
      </c>
      <c r="H74" s="390">
        <f t="shared" si="21"/>
        <v>55222.393637879999</v>
      </c>
    </row>
    <row r="75" spans="1:11" ht="15" thickBot="1" x14ac:dyDescent="0.35">
      <c r="A75" s="384" t="s">
        <v>72</v>
      </c>
      <c r="B75" s="385"/>
      <c r="C75" s="386"/>
      <c r="D75" s="391">
        <f>D74</f>
        <v>54627.81192172</v>
      </c>
      <c r="E75" s="391">
        <f>D75+E74</f>
        <v>197649.8179708707</v>
      </c>
      <c r="F75" s="391">
        <f t="shared" ref="F75:H75" si="22">E75+F74</f>
        <v>480594.31736752641</v>
      </c>
      <c r="G75" s="391">
        <f t="shared" si="22"/>
        <v>682334.47357588646</v>
      </c>
      <c r="H75" s="391">
        <f t="shared" si="22"/>
        <v>737556.86721376644</v>
      </c>
    </row>
    <row r="76" spans="1:11" x14ac:dyDescent="0.3">
      <c r="A76" s="323"/>
      <c r="B76" s="324"/>
      <c r="C76" s="324"/>
      <c r="D76" s="324"/>
      <c r="E76" s="324"/>
      <c r="F76" s="324"/>
      <c r="G76" s="324"/>
      <c r="H76" s="325"/>
    </row>
    <row r="77" spans="1:11" x14ac:dyDescent="0.3">
      <c r="A77" s="242"/>
      <c r="B77" s="243"/>
      <c r="C77" s="243"/>
      <c r="D77" s="244"/>
      <c r="E77" s="190"/>
      <c r="F77" s="245"/>
      <c r="G77" s="357"/>
      <c r="H77" s="328"/>
    </row>
    <row r="78" spans="1:11" x14ac:dyDescent="0.3">
      <c r="A78" s="180"/>
      <c r="B78" s="190"/>
      <c r="C78" s="190"/>
      <c r="D78" s="244"/>
      <c r="E78" s="190"/>
      <c r="F78" s="245"/>
      <c r="G78" s="357"/>
      <c r="H78" s="328"/>
    </row>
    <row r="79" spans="1:11" x14ac:dyDescent="0.3">
      <c r="A79" s="180"/>
      <c r="B79" s="190" t="s">
        <v>35</v>
      </c>
      <c r="C79" s="190"/>
      <c r="D79" s="244"/>
      <c r="E79" s="190"/>
      <c r="F79" s="245"/>
      <c r="G79" s="357"/>
      <c r="H79" s="328"/>
    </row>
    <row r="80" spans="1:11" x14ac:dyDescent="0.3">
      <c r="A80" s="180"/>
      <c r="B80" s="181" t="s">
        <v>36</v>
      </c>
      <c r="C80" s="190"/>
      <c r="D80" s="244"/>
      <c r="E80" s="190"/>
      <c r="F80" s="245"/>
      <c r="G80" s="357"/>
      <c r="H80" s="328"/>
    </row>
    <row r="81" spans="1:8" x14ac:dyDescent="0.3">
      <c r="A81" s="180"/>
      <c r="B81" s="190" t="s">
        <v>37</v>
      </c>
      <c r="C81" s="190"/>
      <c r="D81" s="244"/>
      <c r="E81" s="190"/>
      <c r="F81" s="245"/>
      <c r="G81" s="358"/>
      <c r="H81" s="328"/>
    </row>
    <row r="82" spans="1:8" ht="15" thickBot="1" x14ac:dyDescent="0.35">
      <c r="A82" s="252"/>
      <c r="B82" s="254" t="s">
        <v>38</v>
      </c>
      <c r="C82" s="253"/>
      <c r="D82" s="359"/>
      <c r="E82" s="254"/>
      <c r="F82" s="360"/>
      <c r="G82" s="361"/>
      <c r="H82" s="331"/>
    </row>
    <row r="83" spans="1:8" x14ac:dyDescent="0.3">
      <c r="A83" s="260"/>
      <c r="B83" s="181"/>
      <c r="C83" s="190"/>
      <c r="D83" s="244"/>
      <c r="E83" s="190"/>
      <c r="F83" s="245"/>
      <c r="G83" s="358"/>
    </row>
    <row r="84" spans="1:8" x14ac:dyDescent="0.3">
      <c r="A84" s="190"/>
      <c r="B84" s="181"/>
      <c r="C84" s="190"/>
      <c r="D84" s="244"/>
      <c r="E84" s="190"/>
      <c r="F84" s="245"/>
      <c r="G84" s="358"/>
    </row>
    <row r="85" spans="1:8" x14ac:dyDescent="0.3">
      <c r="A85" s="190"/>
      <c r="B85" s="181"/>
      <c r="C85" s="190"/>
      <c r="D85" s="244"/>
      <c r="E85" s="190"/>
      <c r="F85" s="245"/>
      <c r="G85" s="358"/>
    </row>
  </sheetData>
  <sheetProtection algorithmName="SHA-512" hashValue="bh5N2eRbIaAKeTp7NGvt9ER6SI0ho98vMFIR8INrnyks6dYot6b/n+MOR7+LcdrwFVutlXQ6UN8i3N8XVtGjSA==" saltValue="3NZVx5iQZ3ID7JfR/nz4OQ==" spinCount="100000" sheet="1" objects="1" scenarios="1" selectLockedCells="1"/>
  <mergeCells count="53">
    <mergeCell ref="D6:H6"/>
    <mergeCell ref="A47:A49"/>
    <mergeCell ref="B47:B49"/>
    <mergeCell ref="B65:B67"/>
    <mergeCell ref="A12:A13"/>
    <mergeCell ref="B12:C13"/>
    <mergeCell ref="A14:A16"/>
    <mergeCell ref="B14:B16"/>
    <mergeCell ref="A17:A19"/>
    <mergeCell ref="B17:B19"/>
    <mergeCell ref="A20:A22"/>
    <mergeCell ref="B20:B22"/>
    <mergeCell ref="A23:A25"/>
    <mergeCell ref="A26:A28"/>
    <mergeCell ref="B26:B28"/>
    <mergeCell ref="D9:H9"/>
    <mergeCell ref="A75:C75"/>
    <mergeCell ref="B71:H71"/>
    <mergeCell ref="A72:C72"/>
    <mergeCell ref="A73:C73"/>
    <mergeCell ref="A74:C74"/>
    <mergeCell ref="B23:B25"/>
    <mergeCell ref="A29:A31"/>
    <mergeCell ref="D8:H8"/>
    <mergeCell ref="A68:A70"/>
    <mergeCell ref="B68:B70"/>
    <mergeCell ref="A50:A52"/>
    <mergeCell ref="B50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A77:C77"/>
    <mergeCell ref="D12:H12"/>
    <mergeCell ref="C1:H1"/>
    <mergeCell ref="C2:H2"/>
    <mergeCell ref="D10:H10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</mergeCells>
  <phoneticPr fontId="5" type="noConversion"/>
  <conditionalFormatting sqref="D27:H27 D30:H30 D33:H33 D36:H36 D39:H39 D42:H42 D45:H45 D48:H48 D51:H51 D15:H15 D18:H18 E24:H24 D21:H21">
    <cfRule type="expression" dxfId="15" priority="75">
      <formula>IF(D14="",0,1)</formula>
    </cfRule>
  </conditionalFormatting>
  <conditionalFormatting sqref="D54:F54 D57 D60:E60 G57 H60">
    <cfRule type="expression" dxfId="14" priority="62">
      <formula>IF(D53="",0,1)</formula>
    </cfRule>
  </conditionalFormatting>
  <conditionalFormatting sqref="D66:F66 D69:F69">
    <cfRule type="expression" dxfId="13" priority="61">
      <formula>IF(D65="",0,1)</formula>
    </cfRule>
  </conditionalFormatting>
  <conditionalFormatting sqref="H54">
    <cfRule type="expression" dxfId="12" priority="54">
      <formula>IF(H53="",0,1)</formula>
    </cfRule>
  </conditionalFormatting>
  <conditionalFormatting sqref="H57">
    <cfRule type="expression" dxfId="11" priority="52">
      <formula>IF(H56="",0,1)</formula>
    </cfRule>
  </conditionalFormatting>
  <conditionalFormatting sqref="G63">
    <cfRule type="expression" dxfId="10" priority="50">
      <formula>IF(G62="",0,1)</formula>
    </cfRule>
  </conditionalFormatting>
  <conditionalFormatting sqref="H63">
    <cfRule type="expression" dxfId="9" priority="49">
      <formula>IF(H62="",0,1)</formula>
    </cfRule>
  </conditionalFormatting>
  <conditionalFormatting sqref="G69">
    <cfRule type="expression" dxfId="8" priority="47">
      <formula>IF(G68="",0,1)</formula>
    </cfRule>
  </conditionalFormatting>
  <conditionalFormatting sqref="H69">
    <cfRule type="expression" dxfId="7" priority="46">
      <formula>IF(H68="",0,1)</formula>
    </cfRule>
  </conditionalFormatting>
  <conditionalFormatting sqref="D24">
    <cfRule type="expression" dxfId="6" priority="19">
      <formula>IF(D23="",0,1)</formula>
    </cfRule>
  </conditionalFormatting>
  <conditionalFormatting sqref="H66">
    <cfRule type="expression" dxfId="5" priority="1">
      <formula>IF(H65="",0,1)</formula>
    </cfRule>
  </conditionalFormatting>
  <conditionalFormatting sqref="G54">
    <cfRule type="expression" dxfId="4" priority="6">
      <formula>IF(G53="",0,1)</formula>
    </cfRule>
  </conditionalFormatting>
  <conditionalFormatting sqref="E57:F57">
    <cfRule type="expression" dxfId="3" priority="5">
      <formula>IF(E56="",0,1)</formula>
    </cfRule>
  </conditionalFormatting>
  <conditionalFormatting sqref="F60:G60">
    <cfRule type="expression" dxfId="2" priority="4">
      <formula>IF(F59="",0,1)</formula>
    </cfRule>
  </conditionalFormatting>
  <conditionalFormatting sqref="D63:F63">
    <cfRule type="expression" dxfId="1" priority="3">
      <formula>IF(D62="",0,1)</formula>
    </cfRule>
  </conditionalFormatting>
  <conditionalFormatting sqref="G66">
    <cfRule type="expression" dxfId="0" priority="2">
      <formula>IF(G65="",0,1)</formula>
    </cfRule>
  </conditionalFormatting>
  <pageMargins left="0.511811024" right="0.511811024" top="0.78740157499999996" bottom="0.78740157499999996" header="0.31496062000000002" footer="0.31496062000000002"/>
  <pageSetup paperSize="9" scale="4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K13" sqref="K13"/>
    </sheetView>
  </sheetViews>
  <sheetFormatPr defaultColWidth="21.44140625" defaultRowHeight="14.4" x14ac:dyDescent="0.3"/>
  <cols>
    <col min="1" max="1" width="16.5546875" style="303" customWidth="1"/>
    <col min="2" max="2" width="15.44140625" style="303" customWidth="1"/>
    <col min="3" max="3" width="17.44140625" style="303" customWidth="1"/>
    <col min="4" max="4" width="17" style="303" customWidth="1"/>
    <col min="5" max="5" width="16.88671875" style="303" customWidth="1"/>
    <col min="6" max="7" width="19.109375" style="303" customWidth="1"/>
    <col min="8" max="8" width="15.109375" style="303" customWidth="1"/>
    <col min="9" max="9" width="14.6640625" style="303" customWidth="1"/>
    <col min="10" max="10" width="20.6640625" style="303" customWidth="1"/>
    <col min="11" max="16384" width="21.44140625" style="179"/>
  </cols>
  <sheetData>
    <row r="1" spans="1:10" x14ac:dyDescent="0.3">
      <c r="A1" s="393"/>
      <c r="B1" s="394"/>
      <c r="C1" s="158"/>
      <c r="D1" s="158"/>
      <c r="E1" s="158"/>
      <c r="F1" s="158"/>
      <c r="G1" s="158"/>
      <c r="H1" s="158"/>
      <c r="I1" s="158"/>
      <c r="J1" s="417"/>
    </row>
    <row r="2" spans="1:10" x14ac:dyDescent="0.3">
      <c r="A2" s="395"/>
      <c r="B2" s="396"/>
      <c r="C2" s="159" t="s">
        <v>84</v>
      </c>
      <c r="D2" s="159"/>
      <c r="E2" s="159"/>
      <c r="F2" s="159"/>
      <c r="G2" s="159"/>
      <c r="H2" s="159"/>
      <c r="I2" s="159"/>
      <c r="J2" s="418"/>
    </row>
    <row r="3" spans="1:10" x14ac:dyDescent="0.3">
      <c r="A3" s="395"/>
      <c r="B3" s="396"/>
      <c r="C3" s="419" t="str">
        <f>ORÇAMENTO!C3</f>
        <v>SETOR</v>
      </c>
      <c r="D3" s="1" t="str">
        <f>ORÇAMENTO!D3</f>
        <v>SECRETARIA MUNICIPAL DE OBRAS</v>
      </c>
      <c r="E3" s="419"/>
      <c r="F3" s="419"/>
      <c r="G3" s="419"/>
      <c r="H3" s="419"/>
      <c r="I3" s="419"/>
      <c r="J3" s="420"/>
    </row>
    <row r="4" spans="1:10" x14ac:dyDescent="0.3">
      <c r="A4" s="398"/>
      <c r="B4" s="399"/>
      <c r="C4" s="419" t="str">
        <f>ORÇAMENTO!C4</f>
        <v>OBJETO</v>
      </c>
      <c r="D4" s="1" t="str">
        <f>ORÇAMENTO!D4</f>
        <v>URBANIZAÇÃO DA REPRESA DA BICA</v>
      </c>
      <c r="E4" s="421"/>
      <c r="F4" s="421"/>
      <c r="G4" s="421"/>
      <c r="H4" s="421"/>
      <c r="I4" s="421"/>
      <c r="J4" s="422"/>
    </row>
    <row r="5" spans="1:10" x14ac:dyDescent="0.3">
      <c r="A5" s="400"/>
      <c r="B5" s="401"/>
      <c r="C5" s="419" t="str">
        <f>ORÇAMENTO!C5</f>
        <v>PROCESSO</v>
      </c>
      <c r="D5" s="1">
        <f>ORÇAMENTO!D5</f>
        <v>2021029282</v>
      </c>
      <c r="E5" s="423"/>
      <c r="F5" s="423"/>
      <c r="G5" s="423"/>
      <c r="H5" s="423"/>
      <c r="I5" s="423"/>
      <c r="J5" s="424"/>
    </row>
    <row r="6" spans="1:10" ht="30" customHeight="1" x14ac:dyDescent="0.3">
      <c r="A6" s="400"/>
      <c r="B6" s="401"/>
      <c r="C6" s="419" t="str">
        <f>ORÇAMENTO!C6</f>
        <v>ENDEREÇO</v>
      </c>
      <c r="D6" s="425" t="str">
        <f>ORÇAMENTO!D6</f>
        <v>REPRESA DA BICA</v>
      </c>
      <c r="E6" s="425"/>
      <c r="F6" s="425"/>
      <c r="G6" s="425"/>
      <c r="H6" s="425"/>
      <c r="I6" s="425"/>
      <c r="J6" s="426"/>
    </row>
    <row r="7" spans="1:10" x14ac:dyDescent="0.3">
      <c r="A7" s="400"/>
      <c r="B7" s="401"/>
      <c r="C7" s="419" t="str">
        <f>ORÇAMENTO!C7</f>
        <v>TABELAS</v>
      </c>
      <c r="D7" s="1" t="str">
        <f>ORÇAMENTO!D7</f>
        <v>TABELA GOINFRA 148 - CUSTOS DE OBRAS CIVIS - NOVEMBRO/2020 - DESONERADA - DATA BASE: 30/06/2021</v>
      </c>
      <c r="E7" s="423"/>
      <c r="F7" s="423"/>
      <c r="G7" s="423"/>
      <c r="H7" s="423"/>
      <c r="I7" s="423"/>
      <c r="J7" s="424"/>
    </row>
    <row r="8" spans="1:10" x14ac:dyDescent="0.3">
      <c r="A8" s="400"/>
      <c r="B8" s="401"/>
      <c r="C8" s="419"/>
      <c r="D8" s="1" t="str">
        <f>ORÇAMENTO!D8</f>
        <v>TABELA SINAPI PCI.817.01 - CUSTO DE COMPOSIÇÕES - SINTÉTITICO - AGOSTO/2021 - COM DESONERAÇÃO - DATA BASE: 13/08/2021</v>
      </c>
      <c r="E8" s="423"/>
      <c r="F8" s="423"/>
      <c r="G8" s="423"/>
      <c r="H8" s="423"/>
      <c r="I8" s="423"/>
      <c r="J8" s="424"/>
    </row>
    <row r="9" spans="1:10" x14ac:dyDescent="0.3">
      <c r="A9" s="400"/>
      <c r="B9" s="401"/>
      <c r="C9" s="419"/>
      <c r="D9" s="1" t="str">
        <f>'MEMÓRIA DE CÁLCULO'!B9</f>
        <v xml:space="preserve"> TABELA DE TERRAPLENAGEM, PAVIMENTAÇÃO E OBRAS DE ARTE ESPECIAIS - JUL/21 - COM DESONERAÇÃO - T152 DATA BASE: 30/06/2021</v>
      </c>
      <c r="E9" s="423"/>
      <c r="F9" s="423"/>
      <c r="G9" s="423"/>
      <c r="H9" s="423"/>
      <c r="I9" s="423"/>
      <c r="J9" s="424"/>
    </row>
    <row r="10" spans="1:10" ht="15" thickBot="1" x14ac:dyDescent="0.35">
      <c r="A10" s="402"/>
      <c r="B10" s="403"/>
      <c r="C10" s="2" t="str">
        <f>ORÇAMENTO!C10</f>
        <v xml:space="preserve">DATA </v>
      </c>
      <c r="D10" s="427" t="str">
        <f>ORÇAMENTO!D10</f>
        <v>Segunda -feira 13 de setembro de 2021</v>
      </c>
      <c r="E10" s="428"/>
      <c r="F10" s="428"/>
      <c r="G10" s="428"/>
      <c r="H10" s="428"/>
      <c r="I10" s="428"/>
      <c r="J10" s="429"/>
    </row>
    <row r="11" spans="1:10" x14ac:dyDescent="0.3">
      <c r="A11" s="404"/>
      <c r="B11" s="405"/>
      <c r="C11" s="405"/>
      <c r="D11" s="405"/>
      <c r="E11" s="405"/>
      <c r="F11" s="405"/>
      <c r="G11" s="405"/>
      <c r="H11" s="405"/>
      <c r="I11" s="405"/>
      <c r="J11" s="406"/>
    </row>
    <row r="12" spans="1:10" ht="26.4" x14ac:dyDescent="0.3">
      <c r="A12" s="430" t="s">
        <v>41</v>
      </c>
      <c r="B12" s="431" t="s">
        <v>42</v>
      </c>
      <c r="C12" s="431" t="s">
        <v>43</v>
      </c>
      <c r="D12" s="431" t="s">
        <v>44</v>
      </c>
      <c r="E12" s="431" t="s">
        <v>45</v>
      </c>
      <c r="F12" s="431" t="s">
        <v>46</v>
      </c>
      <c r="G12" s="431" t="s">
        <v>47</v>
      </c>
      <c r="H12" s="431" t="s">
        <v>48</v>
      </c>
      <c r="I12" s="431" t="s">
        <v>49</v>
      </c>
      <c r="J12" s="432" t="s">
        <v>50</v>
      </c>
    </row>
    <row r="13" spans="1:10" ht="15" thickBot="1" x14ac:dyDescent="0.35">
      <c r="A13" s="407">
        <v>3</v>
      </c>
      <c r="B13" s="408">
        <v>6.16</v>
      </c>
      <c r="C13" s="408">
        <v>0.28000000000000003</v>
      </c>
      <c r="D13" s="408">
        <v>0.12</v>
      </c>
      <c r="E13" s="408">
        <v>0.97</v>
      </c>
      <c r="F13" s="408">
        <v>2.4</v>
      </c>
      <c r="G13" s="408">
        <v>0.65</v>
      </c>
      <c r="H13" s="408">
        <v>3</v>
      </c>
      <c r="I13" s="408">
        <v>4.5</v>
      </c>
      <c r="J13" s="436">
        <v>23.88</v>
      </c>
    </row>
    <row r="14" spans="1:10" x14ac:dyDescent="0.3">
      <c r="A14" s="433" t="s">
        <v>51</v>
      </c>
      <c r="B14" s="434"/>
      <c r="C14" s="434"/>
      <c r="D14" s="434"/>
      <c r="E14" s="434"/>
      <c r="F14" s="434"/>
      <c r="G14" s="434"/>
      <c r="H14" s="434"/>
      <c r="I14" s="434"/>
      <c r="J14" s="435"/>
    </row>
    <row r="15" spans="1:10" x14ac:dyDescent="0.3">
      <c r="A15" s="180"/>
      <c r="B15" s="190"/>
      <c r="C15" s="190"/>
      <c r="D15" s="327"/>
      <c r="E15" s="358"/>
      <c r="F15" s="357"/>
      <c r="G15" s="409"/>
      <c r="H15" s="410"/>
      <c r="I15" s="327"/>
      <c r="J15" s="328"/>
    </row>
    <row r="16" spans="1:10" x14ac:dyDescent="0.3">
      <c r="A16" s="180"/>
      <c r="B16" s="190"/>
      <c r="C16" s="190"/>
      <c r="D16" s="327"/>
      <c r="E16" s="358"/>
      <c r="F16" s="357"/>
      <c r="G16" s="409"/>
      <c r="H16" s="410"/>
      <c r="I16" s="327"/>
      <c r="J16" s="328"/>
    </row>
    <row r="17" spans="1:10" x14ac:dyDescent="0.3">
      <c r="A17" s="180"/>
      <c r="B17" s="190"/>
      <c r="C17" s="190"/>
      <c r="D17" s="327"/>
      <c r="E17" s="358"/>
      <c r="F17" s="357"/>
      <c r="G17" s="409"/>
      <c r="H17" s="410"/>
      <c r="I17" s="327"/>
      <c r="J17" s="328"/>
    </row>
    <row r="18" spans="1:10" x14ac:dyDescent="0.3">
      <c r="A18" s="180"/>
      <c r="B18" s="190" t="s">
        <v>35</v>
      </c>
      <c r="C18" s="358"/>
      <c r="D18" s="327"/>
      <c r="E18" s="358"/>
      <c r="F18" s="358"/>
      <c r="G18" s="409"/>
      <c r="H18" s="410"/>
      <c r="I18" s="358"/>
      <c r="J18" s="411"/>
    </row>
    <row r="19" spans="1:10" x14ac:dyDescent="0.3">
      <c r="A19" s="180"/>
      <c r="B19" s="181" t="s">
        <v>36</v>
      </c>
      <c r="C19" s="260"/>
      <c r="D19" s="327"/>
      <c r="E19" s="358"/>
      <c r="F19" s="412"/>
      <c r="G19" s="409"/>
      <c r="H19" s="410"/>
      <c r="I19" s="260"/>
      <c r="J19" s="328"/>
    </row>
    <row r="20" spans="1:10" x14ac:dyDescent="0.3">
      <c r="A20" s="395"/>
      <c r="B20" s="190" t="s">
        <v>37</v>
      </c>
      <c r="C20" s="260"/>
      <c r="D20" s="327"/>
      <c r="E20" s="358"/>
      <c r="F20" s="260"/>
      <c r="G20" s="397"/>
      <c r="H20" s="413"/>
      <c r="I20" s="260"/>
      <c r="J20" s="328"/>
    </row>
    <row r="21" spans="1:10" ht="15" thickBot="1" x14ac:dyDescent="0.35">
      <c r="A21" s="252"/>
      <c r="B21" s="254" t="s">
        <v>38</v>
      </c>
      <c r="C21" s="361"/>
      <c r="D21" s="330"/>
      <c r="E21" s="414"/>
      <c r="F21" s="415"/>
      <c r="G21" s="281"/>
      <c r="H21" s="416"/>
      <c r="I21" s="361"/>
      <c r="J21" s="331" t="s">
        <v>34</v>
      </c>
    </row>
  </sheetData>
  <sheetProtection algorithmName="SHA-512" hashValue="UgAm/PFOhhwwMcEVresLPWh/QzGjZWN3PJQKVwn+mORgU1Dv3k/0oj0PKJbegywyx9qUP1+lWsgGoIfByH8rXw==" saltValue="xFcETTJpVpVHxgnRAH5CKA==" spinCount="100000" sheet="1" objects="1" scenarios="1" selectLockedCells="1"/>
  <mergeCells count="4">
    <mergeCell ref="C1:J1"/>
    <mergeCell ref="C2:J2"/>
    <mergeCell ref="D6:J6"/>
    <mergeCell ref="A11:J11"/>
  </mergeCells>
  <pageMargins left="0.51181102362204722" right="0.51181102362204722" top="0.78740157480314965" bottom="0.78740157480314965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</vt:lpstr>
      <vt:lpstr>MEMÓRIA DE CÁLCULO</vt:lpstr>
      <vt:lpstr>COMPOSIÇÃO</vt:lpstr>
      <vt:lpstr>CRONOGRAMA</vt:lpstr>
      <vt:lpstr>BDI (23,88%)</vt:lpstr>
      <vt:lpstr>VALOR_TOTAL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2021-09-23T12:21:26Z</dcterms:modified>
</cp:coreProperties>
</file>