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 filterPrivacy="1"/>
  <mc:AlternateContent xmlns:mc="http://schemas.openxmlformats.org/markup-compatibility/2006">
    <mc:Choice Requires="x15">
      <x15ac:absPath xmlns:x15ac="http://schemas.microsoft.com/office/spreadsheetml/2010/11/ac" url="/Users/rodrigokogawa/Documents/CATALÃO/1_Arquivos/Ginásio/"/>
    </mc:Choice>
  </mc:AlternateContent>
  <bookViews>
    <workbookView xWindow="4040" yWindow="460" windowWidth="21560" windowHeight="13740"/>
  </bookViews>
  <sheets>
    <sheet name="Orçamento" sheetId="2" r:id="rId1"/>
    <sheet name="Memória de cálculo" sheetId="1" r:id="rId2"/>
    <sheet name="Cronograma" sheetId="3" r:id="rId3"/>
  </sheets>
  <definedNames>
    <definedName name="_xlnm.Print_Area" localSheetId="2">Cronograma!$B$2:$Y$38</definedName>
    <definedName name="_xlnm.Print_Area" localSheetId="1">'Memória de cálculo'!$B$2:$H$708</definedName>
    <definedName name="_xlnm.Print_Area" localSheetId="0">Orçamento!$B$2:$J$161</definedName>
    <definedName name="_xlnm.Print_Titles" localSheetId="0">Orçamento!$10:$10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42" i="2" l="1"/>
  <c r="J149" i="2"/>
  <c r="J148" i="2"/>
  <c r="J147" i="2"/>
  <c r="J146" i="2"/>
  <c r="J145" i="2"/>
  <c r="J144" i="2"/>
  <c r="J143" i="2"/>
  <c r="J141" i="2"/>
  <c r="J138" i="2"/>
  <c r="J137" i="2"/>
  <c r="J136" i="2"/>
  <c r="J135" i="2"/>
  <c r="J134" i="2"/>
  <c r="J133" i="2"/>
  <c r="J132" i="2"/>
  <c r="J131" i="2"/>
  <c r="J128" i="2"/>
  <c r="J127" i="2"/>
  <c r="J124" i="2"/>
  <c r="J123" i="2"/>
  <c r="J122" i="2"/>
  <c r="J121" i="2"/>
  <c r="J120" i="2"/>
  <c r="J119" i="2"/>
  <c r="J118" i="2"/>
  <c r="J115" i="2"/>
  <c r="J112" i="2"/>
  <c r="J111" i="2"/>
  <c r="J110" i="2"/>
  <c r="J109" i="2"/>
  <c r="J108" i="2"/>
  <c r="J105" i="2"/>
  <c r="J102" i="2"/>
  <c r="J101" i="2"/>
  <c r="J100" i="2"/>
  <c r="J99" i="2"/>
  <c r="J98" i="2"/>
  <c r="J97" i="2"/>
  <c r="J96" i="2"/>
  <c r="J95" i="2"/>
  <c r="J92" i="2"/>
  <c r="J91" i="2"/>
  <c r="J88" i="2"/>
  <c r="J87" i="2"/>
  <c r="J84" i="2"/>
  <c r="J83" i="2"/>
  <c r="J82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3" i="2"/>
  <c r="J42" i="2"/>
  <c r="J41" i="2"/>
  <c r="J40" i="2"/>
  <c r="J39" i="2"/>
  <c r="J38" i="2"/>
  <c r="J37" i="2"/>
  <c r="J36" i="2"/>
  <c r="J33" i="2"/>
  <c r="J32" i="2"/>
  <c r="J31" i="2"/>
  <c r="J30" i="2"/>
  <c r="J29" i="2"/>
  <c r="J28" i="2"/>
  <c r="J25" i="2"/>
  <c r="J13" i="2"/>
  <c r="J14" i="2"/>
  <c r="J15" i="2"/>
  <c r="J16" i="2"/>
  <c r="J17" i="2"/>
  <c r="J18" i="2"/>
  <c r="J19" i="2"/>
  <c r="J20" i="2"/>
  <c r="J21" i="2"/>
  <c r="J22" i="2"/>
  <c r="J12" i="2"/>
  <c r="H342" i="1"/>
  <c r="H337" i="1"/>
  <c r="H338" i="1"/>
  <c r="H339" i="1"/>
  <c r="H340" i="1"/>
  <c r="H341" i="1"/>
  <c r="H343" i="1"/>
  <c r="H21" i="1"/>
  <c r="H22" i="1"/>
  <c r="H23" i="1"/>
  <c r="H24" i="1"/>
  <c r="H25" i="1"/>
  <c r="H683" i="1"/>
  <c r="H682" i="1"/>
  <c r="H680" i="1"/>
  <c r="H684" i="1"/>
  <c r="H685" i="1"/>
  <c r="H686" i="1"/>
  <c r="H486" i="1"/>
  <c r="H487" i="1"/>
  <c r="H488" i="1"/>
  <c r="H489" i="1"/>
  <c r="H490" i="1"/>
  <c r="F119" i="2"/>
  <c r="C485" i="1"/>
  <c r="H499" i="1"/>
  <c r="H500" i="1"/>
  <c r="H501" i="1"/>
  <c r="H502" i="1"/>
  <c r="H334" i="1"/>
  <c r="H335" i="1"/>
  <c r="F99" i="2"/>
  <c r="C333" i="1"/>
  <c r="H515" i="1"/>
  <c r="F127" i="2"/>
  <c r="H519" i="1"/>
  <c r="F128" i="2"/>
  <c r="J129" i="2"/>
  <c r="C516" i="1"/>
  <c r="H27" i="1"/>
  <c r="H28" i="1"/>
  <c r="F15" i="2"/>
  <c r="C26" i="1"/>
  <c r="H155" i="1"/>
  <c r="F49" i="2"/>
  <c r="H150" i="1"/>
  <c r="F48" i="2"/>
  <c r="H145" i="1"/>
  <c r="F47" i="2"/>
  <c r="C151" i="1"/>
  <c r="C146" i="1"/>
  <c r="C141" i="1"/>
  <c r="B151" i="1"/>
  <c r="B146" i="1"/>
  <c r="B141" i="1"/>
  <c r="H13" i="1"/>
  <c r="H14" i="1"/>
  <c r="H15" i="1"/>
  <c r="F12" i="2"/>
  <c r="H17" i="1"/>
  <c r="H18" i="1"/>
  <c r="H19" i="1"/>
  <c r="F13" i="2"/>
  <c r="F14" i="2"/>
  <c r="H30" i="1"/>
  <c r="H31" i="1"/>
  <c r="H32" i="1"/>
  <c r="H33" i="1"/>
  <c r="E34" i="1"/>
  <c r="H34" i="1"/>
  <c r="H35" i="1"/>
  <c r="H36" i="1"/>
  <c r="H37" i="1"/>
  <c r="H38" i="1"/>
  <c r="H39" i="1"/>
  <c r="H40" i="1"/>
  <c r="H41" i="1"/>
  <c r="H42" i="1"/>
  <c r="H43" i="1"/>
  <c r="F16" i="2"/>
  <c r="H45" i="1"/>
  <c r="H46" i="1"/>
  <c r="F17" i="2"/>
  <c r="H48" i="1"/>
  <c r="H49" i="1"/>
  <c r="F18" i="2"/>
  <c r="H52" i="1"/>
  <c r="F19" i="2"/>
  <c r="H55" i="1"/>
  <c r="F20" i="2"/>
  <c r="H57" i="1"/>
  <c r="H58" i="1"/>
  <c r="H59" i="1"/>
  <c r="F21" i="2"/>
  <c r="H61" i="1"/>
  <c r="H62" i="1"/>
  <c r="F22" i="2"/>
  <c r="J23" i="2"/>
  <c r="K23" i="2"/>
  <c r="X14" i="3"/>
  <c r="E65" i="1"/>
  <c r="H65" i="1"/>
  <c r="E66" i="1"/>
  <c r="H66" i="1"/>
  <c r="E67" i="1"/>
  <c r="H67" i="1"/>
  <c r="H68" i="1"/>
  <c r="H69" i="1"/>
  <c r="H70" i="1"/>
  <c r="E71" i="1"/>
  <c r="H71" i="1"/>
  <c r="H72" i="1"/>
  <c r="F25" i="2"/>
  <c r="J26" i="2"/>
  <c r="K26" i="2"/>
  <c r="X15" i="3"/>
  <c r="H75" i="1"/>
  <c r="H76" i="1"/>
  <c r="H77" i="1"/>
  <c r="H78" i="1"/>
  <c r="F28" i="2"/>
  <c r="H81" i="1"/>
  <c r="F29" i="2"/>
  <c r="H83" i="1"/>
  <c r="H84" i="1"/>
  <c r="F30" i="2"/>
  <c r="H86" i="1"/>
  <c r="H87" i="1"/>
  <c r="F31" i="2"/>
  <c r="H89" i="1"/>
  <c r="H90" i="1"/>
  <c r="F32" i="2"/>
  <c r="H92" i="1"/>
  <c r="H93" i="1"/>
  <c r="F33" i="2"/>
  <c r="J34" i="2"/>
  <c r="K34" i="2"/>
  <c r="X16" i="3"/>
  <c r="H97" i="1"/>
  <c r="F36" i="2"/>
  <c r="H107" i="1"/>
  <c r="F37" i="2"/>
  <c r="H117" i="1"/>
  <c r="F38" i="2"/>
  <c r="H120" i="1"/>
  <c r="F39" i="2"/>
  <c r="H123" i="1"/>
  <c r="F40" i="2"/>
  <c r="H128" i="1"/>
  <c r="F41" i="2"/>
  <c r="H131" i="1"/>
  <c r="F42" i="2"/>
  <c r="H134" i="1"/>
  <c r="F43" i="2"/>
  <c r="J44" i="2"/>
  <c r="K44" i="2"/>
  <c r="X17" i="3"/>
  <c r="H140" i="1"/>
  <c r="F46" i="2"/>
  <c r="H162" i="1"/>
  <c r="F50" i="2"/>
  <c r="H169" i="1"/>
  <c r="F51" i="2"/>
  <c r="H173" i="1"/>
  <c r="F52" i="2"/>
  <c r="H179" i="1"/>
  <c r="F53" i="2"/>
  <c r="H182" i="1"/>
  <c r="F54" i="2"/>
  <c r="H186" i="1"/>
  <c r="F55" i="2"/>
  <c r="H190" i="1"/>
  <c r="F56" i="2"/>
  <c r="H193" i="1"/>
  <c r="F57" i="2"/>
  <c r="H196" i="1"/>
  <c r="F58" i="2"/>
  <c r="H199" i="1"/>
  <c r="F59" i="2"/>
  <c r="H202" i="1"/>
  <c r="F60" i="2"/>
  <c r="H205" i="1"/>
  <c r="F61" i="2"/>
  <c r="H208" i="1"/>
  <c r="F62" i="2"/>
  <c r="H211" i="1"/>
  <c r="F63" i="2"/>
  <c r="H214" i="1"/>
  <c r="F64" i="2"/>
  <c r="H217" i="1"/>
  <c r="F65" i="2"/>
  <c r="H220" i="1"/>
  <c r="F66" i="2"/>
  <c r="H223" i="1"/>
  <c r="F67" i="2"/>
  <c r="H226" i="1"/>
  <c r="F68" i="2"/>
  <c r="H229" i="1"/>
  <c r="H232" i="1"/>
  <c r="F70" i="2"/>
  <c r="H235" i="1"/>
  <c r="F71" i="2"/>
  <c r="H238" i="1"/>
  <c r="F72" i="2"/>
  <c r="H241" i="1"/>
  <c r="F73" i="2"/>
  <c r="H244" i="1"/>
  <c r="F74" i="2"/>
  <c r="H247" i="1"/>
  <c r="F75" i="2"/>
  <c r="H250" i="1"/>
  <c r="F76" i="2"/>
  <c r="H253" i="1"/>
  <c r="F77" i="2"/>
  <c r="H256" i="1"/>
  <c r="F78" i="2"/>
  <c r="H259" i="1"/>
  <c r="F79" i="2"/>
  <c r="J80" i="2"/>
  <c r="K80" i="2"/>
  <c r="X18" i="3"/>
  <c r="H268" i="1"/>
  <c r="H269" i="1"/>
  <c r="H270" i="1"/>
  <c r="H271" i="1"/>
  <c r="H265" i="1"/>
  <c r="H266" i="1"/>
  <c r="H267" i="1"/>
  <c r="H262" i="1"/>
  <c r="H263" i="1"/>
  <c r="H264" i="1"/>
  <c r="H272" i="1"/>
  <c r="H273" i="1"/>
  <c r="H274" i="1"/>
  <c r="H275" i="1"/>
  <c r="H276" i="1"/>
  <c r="H278" i="1"/>
  <c r="H279" i="1"/>
  <c r="H280" i="1"/>
  <c r="H281" i="1"/>
  <c r="F82" i="2"/>
  <c r="H283" i="1"/>
  <c r="H284" i="1"/>
  <c r="F83" i="2"/>
  <c r="H286" i="1"/>
  <c r="H287" i="1"/>
  <c r="F84" i="2"/>
  <c r="J85" i="2"/>
  <c r="K85" i="2"/>
  <c r="X19" i="3"/>
  <c r="H290" i="1"/>
  <c r="H291" i="1"/>
  <c r="H292" i="1"/>
  <c r="H293" i="1"/>
  <c r="H294" i="1"/>
  <c r="F87" i="2"/>
  <c r="H296" i="1"/>
  <c r="H297" i="1"/>
  <c r="H298" i="1"/>
  <c r="H299" i="1"/>
  <c r="H300" i="1"/>
  <c r="F88" i="2"/>
  <c r="J89" i="2"/>
  <c r="K89" i="2"/>
  <c r="X20" i="3"/>
  <c r="H303" i="1"/>
  <c r="H304" i="1"/>
  <c r="H305" i="1"/>
  <c r="H306" i="1"/>
  <c r="H307" i="1"/>
  <c r="F91" i="2"/>
  <c r="H311" i="1"/>
  <c r="F92" i="2"/>
  <c r="J93" i="2"/>
  <c r="K93" i="2"/>
  <c r="X21" i="3"/>
  <c r="H314" i="1"/>
  <c r="H315" i="1"/>
  <c r="H316" i="1"/>
  <c r="H317" i="1"/>
  <c r="F95" i="2"/>
  <c r="H319" i="1"/>
  <c r="H320" i="1"/>
  <c r="F96" i="2"/>
  <c r="H322" i="1"/>
  <c r="H323" i="1"/>
  <c r="H324" i="1"/>
  <c r="H325" i="1"/>
  <c r="H326" i="1"/>
  <c r="H327" i="1"/>
  <c r="H328" i="1"/>
  <c r="F97" i="2"/>
  <c r="H330" i="1"/>
  <c r="H331" i="1"/>
  <c r="H332" i="1"/>
  <c r="F98" i="2"/>
  <c r="F100" i="2"/>
  <c r="H346" i="1"/>
  <c r="F101" i="2"/>
  <c r="H348" i="1"/>
  <c r="H349" i="1"/>
  <c r="H350" i="1"/>
  <c r="H351" i="1"/>
  <c r="H352" i="1"/>
  <c r="H353" i="1"/>
  <c r="H354" i="1"/>
  <c r="H355" i="1"/>
  <c r="F102" i="2"/>
  <c r="J103" i="2"/>
  <c r="K103" i="2"/>
  <c r="X22" i="3"/>
  <c r="H358" i="1"/>
  <c r="H359" i="1"/>
  <c r="H360" i="1"/>
  <c r="H361" i="1"/>
  <c r="H362" i="1"/>
  <c r="H363" i="1"/>
  <c r="H364" i="1"/>
  <c r="H365" i="1"/>
  <c r="H366" i="1"/>
  <c r="F105" i="2"/>
  <c r="J106" i="2"/>
  <c r="K106" i="2"/>
  <c r="X23" i="3"/>
  <c r="E391" i="1"/>
  <c r="H391" i="1"/>
  <c r="H392" i="1"/>
  <c r="H393" i="1"/>
  <c r="E394" i="1"/>
  <c r="H394" i="1"/>
  <c r="H395" i="1"/>
  <c r="H396" i="1"/>
  <c r="E384" i="1"/>
  <c r="H384" i="1"/>
  <c r="H385" i="1"/>
  <c r="H386" i="1"/>
  <c r="E387" i="1"/>
  <c r="H387" i="1"/>
  <c r="H388" i="1"/>
  <c r="H389" i="1"/>
  <c r="E376" i="1"/>
  <c r="H376" i="1"/>
  <c r="H377" i="1"/>
  <c r="H378" i="1"/>
  <c r="E379" i="1"/>
  <c r="H379" i="1"/>
  <c r="H380" i="1"/>
  <c r="H381" i="1"/>
  <c r="H382" i="1"/>
  <c r="E370" i="1"/>
  <c r="H370" i="1"/>
  <c r="H372" i="1"/>
  <c r="H371" i="1"/>
  <c r="H373" i="1"/>
  <c r="H374" i="1"/>
  <c r="E398" i="1"/>
  <c r="H398" i="1"/>
  <c r="H399" i="1"/>
  <c r="H401" i="1"/>
  <c r="H402" i="1"/>
  <c r="H403" i="1"/>
  <c r="H404" i="1"/>
  <c r="F108" i="2"/>
  <c r="E412" i="1"/>
  <c r="H412" i="1"/>
  <c r="H413" i="1"/>
  <c r="H414" i="1"/>
  <c r="H415" i="1"/>
  <c r="E407" i="1"/>
  <c r="H407" i="1"/>
  <c r="H408" i="1"/>
  <c r="H409" i="1"/>
  <c r="H410" i="1"/>
  <c r="E417" i="1"/>
  <c r="H417" i="1"/>
  <c r="H418" i="1"/>
  <c r="H419" i="1"/>
  <c r="F109" i="2"/>
  <c r="E440" i="1"/>
  <c r="H440" i="1"/>
  <c r="H441" i="1"/>
  <c r="H442" i="1"/>
  <c r="E436" i="1"/>
  <c r="H436" i="1"/>
  <c r="H437" i="1"/>
  <c r="H438" i="1"/>
  <c r="E428" i="1"/>
  <c r="H428" i="1"/>
  <c r="H429" i="1"/>
  <c r="H430" i="1"/>
  <c r="E431" i="1"/>
  <c r="H431" i="1"/>
  <c r="H432" i="1"/>
  <c r="H433" i="1"/>
  <c r="H434" i="1"/>
  <c r="E422" i="1"/>
  <c r="H422" i="1"/>
  <c r="H424" i="1"/>
  <c r="H423" i="1"/>
  <c r="H425" i="1"/>
  <c r="H426" i="1"/>
  <c r="E444" i="1"/>
  <c r="H444" i="1"/>
  <c r="H445" i="1"/>
  <c r="H447" i="1"/>
  <c r="H448" i="1"/>
  <c r="H449" i="1"/>
  <c r="H450" i="1"/>
  <c r="F110" i="2"/>
  <c r="E453" i="1"/>
  <c r="H453" i="1"/>
  <c r="H454" i="1"/>
  <c r="H455" i="1"/>
  <c r="E457" i="1"/>
  <c r="H457" i="1"/>
  <c r="H458" i="1"/>
  <c r="H459" i="1"/>
  <c r="E461" i="1"/>
  <c r="H461" i="1"/>
  <c r="H462" i="1"/>
  <c r="H463" i="1"/>
  <c r="F111" i="2"/>
  <c r="H465" i="1"/>
  <c r="H466" i="1"/>
  <c r="H467" i="1"/>
  <c r="H468" i="1"/>
  <c r="H469" i="1"/>
  <c r="H470" i="1"/>
  <c r="H471" i="1"/>
  <c r="H472" i="1"/>
  <c r="F112" i="2"/>
  <c r="J113" i="2"/>
  <c r="K113" i="2"/>
  <c r="X24" i="3"/>
  <c r="H475" i="1"/>
  <c r="H476" i="1"/>
  <c r="H477" i="1"/>
  <c r="H478" i="1"/>
  <c r="H479" i="1"/>
  <c r="F115" i="2"/>
  <c r="J116" i="2"/>
  <c r="K116" i="2"/>
  <c r="X25" i="3"/>
  <c r="H482" i="1"/>
  <c r="H483" i="1"/>
  <c r="H484" i="1"/>
  <c r="F118" i="2"/>
  <c r="H492" i="1"/>
  <c r="H493" i="1"/>
  <c r="F120" i="2"/>
  <c r="H495" i="1"/>
  <c r="H496" i="1"/>
  <c r="H497" i="1"/>
  <c r="F121" i="2"/>
  <c r="F122" i="2"/>
  <c r="H504" i="1"/>
  <c r="H505" i="1"/>
  <c r="F123" i="2"/>
  <c r="H508" i="1"/>
  <c r="H507" i="1"/>
  <c r="H509" i="1"/>
  <c r="F124" i="2"/>
  <c r="J125" i="2"/>
  <c r="K125" i="2"/>
  <c r="X26" i="3"/>
  <c r="K129" i="2"/>
  <c r="X27" i="3"/>
  <c r="E523" i="1"/>
  <c r="H523" i="1"/>
  <c r="E522" i="1"/>
  <c r="H522" i="1"/>
  <c r="H524" i="1"/>
  <c r="F131" i="2"/>
  <c r="E533" i="1"/>
  <c r="H533" i="1"/>
  <c r="H534" i="1"/>
  <c r="H535" i="1"/>
  <c r="H536" i="1"/>
  <c r="E527" i="1"/>
  <c r="H527" i="1"/>
  <c r="H528" i="1"/>
  <c r="H529" i="1"/>
  <c r="H530" i="1"/>
  <c r="H531" i="1"/>
  <c r="H537" i="1"/>
  <c r="F132" i="2"/>
  <c r="H605" i="1"/>
  <c r="H606" i="1"/>
  <c r="H607" i="1"/>
  <c r="E591" i="1"/>
  <c r="H591" i="1"/>
  <c r="H592" i="1"/>
  <c r="H593" i="1"/>
  <c r="H594" i="1"/>
  <c r="H595" i="1"/>
  <c r="H596" i="1"/>
  <c r="H597" i="1"/>
  <c r="H599" i="1"/>
  <c r="H598" i="1"/>
  <c r="H600" i="1"/>
  <c r="H601" i="1"/>
  <c r="H602" i="1"/>
  <c r="H603" i="1"/>
  <c r="H604" i="1"/>
  <c r="E579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E573" i="1"/>
  <c r="H573" i="1"/>
  <c r="H574" i="1"/>
  <c r="H575" i="1"/>
  <c r="H576" i="1"/>
  <c r="H577" i="1"/>
  <c r="E567" i="1"/>
  <c r="H567" i="1"/>
  <c r="H568" i="1"/>
  <c r="H569" i="1"/>
  <c r="H570" i="1"/>
  <c r="H571" i="1"/>
  <c r="E561" i="1"/>
  <c r="H561" i="1"/>
  <c r="H562" i="1"/>
  <c r="H563" i="1"/>
  <c r="H564" i="1"/>
  <c r="H565" i="1"/>
  <c r="E556" i="1"/>
  <c r="H556" i="1"/>
  <c r="H557" i="1"/>
  <c r="H558" i="1"/>
  <c r="H559" i="1"/>
  <c r="E552" i="1"/>
  <c r="H552" i="1"/>
  <c r="H553" i="1"/>
  <c r="H554" i="1"/>
  <c r="E546" i="1"/>
  <c r="H546" i="1"/>
  <c r="H547" i="1"/>
  <c r="H548" i="1"/>
  <c r="H549" i="1"/>
  <c r="H550" i="1"/>
  <c r="E540" i="1"/>
  <c r="H540" i="1"/>
  <c r="H541" i="1"/>
  <c r="H542" i="1"/>
  <c r="H543" i="1"/>
  <c r="H544" i="1"/>
  <c r="H608" i="1"/>
  <c r="F133" i="2"/>
  <c r="E646" i="1"/>
  <c r="H646" i="1"/>
  <c r="H647" i="1"/>
  <c r="H648" i="1"/>
  <c r="H649" i="1"/>
  <c r="E640" i="1"/>
  <c r="H640" i="1"/>
  <c r="H641" i="1"/>
  <c r="H642" i="1"/>
  <c r="H643" i="1"/>
  <c r="H644" i="1"/>
  <c r="H636" i="1"/>
  <c r="H637" i="1"/>
  <c r="H638" i="1"/>
  <c r="E633" i="1"/>
  <c r="H633" i="1"/>
  <c r="H634" i="1"/>
  <c r="E629" i="1"/>
  <c r="H629" i="1"/>
  <c r="H630" i="1"/>
  <c r="H631" i="1"/>
  <c r="E625" i="1"/>
  <c r="H625" i="1"/>
  <c r="H626" i="1"/>
  <c r="H627" i="1"/>
  <c r="E617" i="1"/>
  <c r="H617" i="1"/>
  <c r="H618" i="1"/>
  <c r="H619" i="1"/>
  <c r="E620" i="1"/>
  <c r="H620" i="1"/>
  <c r="H621" i="1"/>
  <c r="H622" i="1"/>
  <c r="H623" i="1"/>
  <c r="E611" i="1"/>
  <c r="H611" i="1"/>
  <c r="H613" i="1"/>
  <c r="H612" i="1"/>
  <c r="H614" i="1"/>
  <c r="H615" i="1"/>
  <c r="H650" i="1"/>
  <c r="F134" i="2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F135" i="2"/>
  <c r="E675" i="1"/>
  <c r="H675" i="1"/>
  <c r="E674" i="1"/>
  <c r="H674" i="1"/>
  <c r="H676" i="1"/>
  <c r="H677" i="1"/>
  <c r="H678" i="1"/>
  <c r="F136" i="2"/>
  <c r="F137" i="2"/>
  <c r="E688" i="1"/>
  <c r="H688" i="1"/>
  <c r="H689" i="1"/>
  <c r="F138" i="2"/>
  <c r="J139" i="2"/>
  <c r="K139" i="2"/>
  <c r="X28" i="3"/>
  <c r="H692" i="1"/>
  <c r="F141" i="2"/>
  <c r="H694" i="1"/>
  <c r="F142" i="2"/>
  <c r="H696" i="1"/>
  <c r="F143" i="2"/>
  <c r="H698" i="1"/>
  <c r="F144" i="2"/>
  <c r="H700" i="1"/>
  <c r="F145" i="2"/>
  <c r="H702" i="1"/>
  <c r="F146" i="2"/>
  <c r="H704" i="1"/>
  <c r="F147" i="2"/>
  <c r="H706" i="1"/>
  <c r="F148" i="2"/>
  <c r="H708" i="1"/>
  <c r="F149" i="2"/>
  <c r="J150" i="2"/>
  <c r="K150" i="2"/>
  <c r="X29" i="3"/>
  <c r="X31" i="3"/>
  <c r="D14" i="3"/>
  <c r="D15" i="3"/>
  <c r="D16" i="3"/>
  <c r="D32" i="3"/>
  <c r="E14" i="3"/>
  <c r="E15" i="3"/>
  <c r="E16" i="3"/>
  <c r="E32" i="3"/>
  <c r="F14" i="3"/>
  <c r="F15" i="3"/>
  <c r="F16" i="3"/>
  <c r="F32" i="3"/>
  <c r="G14" i="3"/>
  <c r="G15" i="3"/>
  <c r="G16" i="3"/>
  <c r="G19" i="3"/>
  <c r="G32" i="3"/>
  <c r="G31" i="3"/>
  <c r="F31" i="3"/>
  <c r="G30" i="3"/>
  <c r="H15" i="3"/>
  <c r="H16" i="3"/>
  <c r="H19" i="3"/>
  <c r="H32" i="3"/>
  <c r="H31" i="3"/>
  <c r="H30" i="3"/>
  <c r="I15" i="3"/>
  <c r="I16" i="3"/>
  <c r="I19" i="3"/>
  <c r="I32" i="3"/>
  <c r="I31" i="3"/>
  <c r="I30" i="3"/>
  <c r="J15" i="3"/>
  <c r="J16" i="3"/>
  <c r="J19" i="3"/>
  <c r="J32" i="3"/>
  <c r="J31" i="3"/>
  <c r="J30" i="3"/>
  <c r="K15" i="3"/>
  <c r="K16" i="3"/>
  <c r="K19" i="3"/>
  <c r="K32" i="3"/>
  <c r="K31" i="3"/>
  <c r="K30" i="3"/>
  <c r="L15" i="3"/>
  <c r="L16" i="3"/>
  <c r="L20" i="3"/>
  <c r="L24" i="3"/>
  <c r="L32" i="3"/>
  <c r="L31" i="3"/>
  <c r="L30" i="3"/>
  <c r="M15" i="3"/>
  <c r="M16" i="3"/>
  <c r="M20" i="3"/>
  <c r="M24" i="3"/>
  <c r="M26" i="3"/>
  <c r="M32" i="3"/>
  <c r="M31" i="3"/>
  <c r="M30" i="3"/>
  <c r="N15" i="3"/>
  <c r="N16" i="3"/>
  <c r="N21" i="3"/>
  <c r="N24" i="3"/>
  <c r="N26" i="3"/>
  <c r="N32" i="3"/>
  <c r="N31" i="3"/>
  <c r="N30" i="3"/>
  <c r="O15" i="3"/>
  <c r="O16" i="3"/>
  <c r="O17" i="3"/>
  <c r="O18" i="3"/>
  <c r="O21" i="3"/>
  <c r="O22" i="3"/>
  <c r="O24" i="3"/>
  <c r="O25" i="3"/>
  <c r="O26" i="3"/>
  <c r="O32" i="3"/>
  <c r="O31" i="3"/>
  <c r="O30" i="3"/>
  <c r="P15" i="3"/>
  <c r="P16" i="3"/>
  <c r="P18" i="3"/>
  <c r="P22" i="3"/>
  <c r="P24" i="3"/>
  <c r="P25" i="3"/>
  <c r="P26" i="3"/>
  <c r="P28" i="3"/>
  <c r="P32" i="3"/>
  <c r="P31" i="3"/>
  <c r="P30" i="3"/>
  <c r="Q15" i="3"/>
  <c r="Q16" i="3"/>
  <c r="Q28" i="3"/>
  <c r="Q32" i="3"/>
  <c r="Q31" i="3"/>
  <c r="Q30" i="3"/>
  <c r="R15" i="3"/>
  <c r="R16" i="3"/>
  <c r="R28" i="3"/>
  <c r="R32" i="3"/>
  <c r="R31" i="3"/>
  <c r="R30" i="3"/>
  <c r="S15" i="3"/>
  <c r="S16" i="3"/>
  <c r="S28" i="3"/>
  <c r="S32" i="3"/>
  <c r="S31" i="3"/>
  <c r="S30" i="3"/>
  <c r="T15" i="3"/>
  <c r="T16" i="3"/>
  <c r="T28" i="3"/>
  <c r="T32" i="3"/>
  <c r="T31" i="3"/>
  <c r="T30" i="3"/>
  <c r="U15" i="3"/>
  <c r="U16" i="3"/>
  <c r="U28" i="3"/>
  <c r="U32" i="3"/>
  <c r="U31" i="3"/>
  <c r="U30" i="3"/>
  <c r="V15" i="3"/>
  <c r="V16" i="3"/>
  <c r="V17" i="3"/>
  <c r="V23" i="3"/>
  <c r="V28" i="3"/>
  <c r="V32" i="3"/>
  <c r="V31" i="3"/>
  <c r="V30" i="3"/>
  <c r="W15" i="3"/>
  <c r="W16" i="3"/>
  <c r="W29" i="3"/>
  <c r="W27" i="3"/>
  <c r="W32" i="3"/>
  <c r="W31" i="3"/>
  <c r="W30" i="3"/>
  <c r="E31" i="3"/>
  <c r="F30" i="3"/>
  <c r="D31" i="3"/>
  <c r="D30" i="3"/>
  <c r="E30" i="3"/>
  <c r="C88" i="1"/>
  <c r="C282" i="1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1" i="3"/>
  <c r="C707" i="1"/>
  <c r="C705" i="1"/>
  <c r="C703" i="1"/>
  <c r="C701" i="1"/>
  <c r="C699" i="1"/>
  <c r="C697" i="1"/>
  <c r="C695" i="1"/>
  <c r="C693" i="1"/>
  <c r="C691" i="1"/>
  <c r="C687" i="1"/>
  <c r="C679" i="1"/>
  <c r="C673" i="1"/>
  <c r="C651" i="1"/>
  <c r="C609" i="1"/>
  <c r="C538" i="1"/>
  <c r="C525" i="1"/>
  <c r="C521" i="1"/>
  <c r="C511" i="1"/>
  <c r="C506" i="1"/>
  <c r="C503" i="1"/>
  <c r="C498" i="1"/>
  <c r="C494" i="1"/>
  <c r="C491" i="1"/>
  <c r="C481" i="1"/>
  <c r="C474" i="1"/>
  <c r="C464" i="1"/>
  <c r="C451" i="1"/>
  <c r="C420" i="1"/>
  <c r="C405" i="1"/>
  <c r="C368" i="1"/>
  <c r="C357" i="1"/>
  <c r="C347" i="1"/>
  <c r="C344" i="1"/>
  <c r="C336" i="1"/>
  <c r="C329" i="1"/>
  <c r="C321" i="1"/>
  <c r="C318" i="1"/>
  <c r="C313" i="1"/>
  <c r="C308" i="1"/>
  <c r="C302" i="1"/>
  <c r="C295" i="1"/>
  <c r="C289" i="1"/>
  <c r="C285" i="1"/>
  <c r="C261" i="1"/>
  <c r="C257" i="1"/>
  <c r="C254" i="1"/>
  <c r="C251" i="1"/>
  <c r="C248" i="1"/>
  <c r="C245" i="1"/>
  <c r="C242" i="1"/>
  <c r="C239" i="1"/>
  <c r="C236" i="1"/>
  <c r="C233" i="1"/>
  <c r="C230" i="1"/>
  <c r="C227" i="1"/>
  <c r="C224" i="1"/>
  <c r="C221" i="1"/>
  <c r="C218" i="1"/>
  <c r="C215" i="1"/>
  <c r="C212" i="1"/>
  <c r="C209" i="1"/>
  <c r="C206" i="1"/>
  <c r="C203" i="1"/>
  <c r="C200" i="1"/>
  <c r="C197" i="1"/>
  <c r="C194" i="1"/>
  <c r="C191" i="1"/>
  <c r="C187" i="1"/>
  <c r="C183" i="1"/>
  <c r="C180" i="1"/>
  <c r="C174" i="1"/>
  <c r="C170" i="1"/>
  <c r="C163" i="1"/>
  <c r="B257" i="1"/>
  <c r="B254" i="1"/>
  <c r="B251" i="1"/>
  <c r="B248" i="1"/>
  <c r="B245" i="1"/>
  <c r="B242" i="1"/>
  <c r="B239" i="1"/>
  <c r="B236" i="1"/>
  <c r="B233" i="1"/>
  <c r="B230" i="1"/>
  <c r="B227" i="1"/>
  <c r="B224" i="1"/>
  <c r="B221" i="1"/>
  <c r="B218" i="1"/>
  <c r="B215" i="1"/>
  <c r="B212" i="1"/>
  <c r="B209" i="1"/>
  <c r="B206" i="1"/>
  <c r="B203" i="1"/>
  <c r="B200" i="1"/>
  <c r="B197" i="1"/>
  <c r="B194" i="1"/>
  <c r="B191" i="1"/>
  <c r="B187" i="1"/>
  <c r="B183" i="1"/>
  <c r="B180" i="1"/>
  <c r="B174" i="1"/>
  <c r="B170" i="1"/>
  <c r="B163" i="1"/>
  <c r="B156" i="1"/>
  <c r="B136" i="1"/>
  <c r="C156" i="1"/>
  <c r="C136" i="1"/>
  <c r="C132" i="1"/>
  <c r="C129" i="1"/>
  <c r="C124" i="1"/>
  <c r="C121" i="1"/>
  <c r="C118" i="1"/>
  <c r="C108" i="1"/>
  <c r="C98" i="1"/>
  <c r="C95" i="1"/>
  <c r="C91" i="1"/>
  <c r="C85" i="1"/>
  <c r="C82" i="1"/>
  <c r="C79" i="1"/>
  <c r="C74" i="1"/>
  <c r="C64" i="1"/>
  <c r="C60" i="1"/>
  <c r="C56" i="1"/>
  <c r="C53" i="1"/>
  <c r="C50" i="1"/>
  <c r="C47" i="1"/>
  <c r="C44" i="1"/>
  <c r="C29" i="1"/>
  <c r="C20" i="1"/>
  <c r="C16" i="1"/>
  <c r="C12" i="1"/>
  <c r="J152" i="2"/>
  <c r="J153" i="2"/>
  <c r="H80" i="1"/>
  <c r="C29" i="3"/>
  <c r="C28" i="3"/>
  <c r="C27" i="3"/>
  <c r="B6" i="1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B7" i="3"/>
  <c r="B7" i="1"/>
  <c r="B5" i="1"/>
  <c r="B8" i="1"/>
  <c r="B6" i="3"/>
  <c r="B7" i="2"/>
  <c r="B5" i="3"/>
  <c r="J154" i="2"/>
  <c r="K154" i="2"/>
</calcChain>
</file>

<file path=xl/sharedStrings.xml><?xml version="1.0" encoding="utf-8"?>
<sst xmlns="http://schemas.openxmlformats.org/spreadsheetml/2006/main" count="1757" uniqueCount="729">
  <si>
    <t>PREFEITURA MUNICIPAL DE CATALÃO - GO</t>
  </si>
  <si>
    <t>SECRETARIA DE OBRAS</t>
  </si>
  <si>
    <t xml:space="preserve">MEMÓRIA DE CALCULO </t>
  </si>
  <si>
    <t>ITEM</t>
  </si>
  <si>
    <t>DESCRIÇÃO</t>
  </si>
  <si>
    <t>UNIDADE</t>
  </si>
  <si>
    <t>MEMÓRIA DE CÁLCULO</t>
  </si>
  <si>
    <t>Grupo de Serviço: 164 - Serviços Preliminares</t>
  </si>
  <si>
    <t>m2</t>
  </si>
  <si>
    <t>Total</t>
  </si>
  <si>
    <t>TOTAL</t>
  </si>
  <si>
    <t>Grupo de Serviço: 165 - Transportes</t>
  </si>
  <si>
    <t>2.1</t>
  </si>
  <si>
    <t>Grupo de Serviço: 169 - Instalações Elét./Telefônica/Cabeamento Estruturado</t>
  </si>
  <si>
    <t>6.1</t>
  </si>
  <si>
    <t>7.1</t>
  </si>
  <si>
    <t>PREFEITURA MUNICIPAL DE CATALÃO</t>
  </si>
  <si>
    <t>ORÇAMENTO BÁSICO ESTIMADO</t>
  </si>
  <si>
    <t>CÓDIGO</t>
  </si>
  <si>
    <t>QUANT.</t>
  </si>
  <si>
    <t>UND.</t>
  </si>
  <si>
    <t>MATERIAL</t>
  </si>
  <si>
    <t>MÃO-DE-OBRA</t>
  </si>
  <si>
    <t>TOTAL C/ BDI</t>
  </si>
  <si>
    <t xml:space="preserve">m2 </t>
  </si>
  <si>
    <t>Grupo de Serviço: 188 - Pintura</t>
  </si>
  <si>
    <t xml:space="preserve">PINTURA LATEX ACRILICO 2 DEMAOS </t>
  </si>
  <si>
    <t>AGETOP</t>
  </si>
  <si>
    <t>Grupo de Serviço: 189 - Diversos</t>
  </si>
  <si>
    <t>CRONOGRAM FÍSICO FINANCEIRO</t>
  </si>
  <si>
    <t>DESCRIÇÃO DOS SERVIÇOS</t>
  </si>
  <si>
    <t>MÊS 2</t>
  </si>
  <si>
    <t>VALOR DOS SERVIÇOS (R$)</t>
  </si>
  <si>
    <t>% DOS SERVIÇOS</t>
  </si>
  <si>
    <t>PERCENTUAL DE EXECUÇÃO</t>
  </si>
  <si>
    <t>Tabela 128 - Custo Obras Civis - Novembro/2017 - Desonerada</t>
  </si>
  <si>
    <t>4.1</t>
  </si>
  <si>
    <t>4.2</t>
  </si>
  <si>
    <t xml:space="preserve">PLACA DE INAUGURACAO ACO ESCOVADO 80 X 60 CM </t>
  </si>
  <si>
    <t>_____________________________________________________</t>
  </si>
  <si>
    <t xml:space="preserve"> m2</t>
  </si>
  <si>
    <t>Und.</t>
  </si>
  <si>
    <t>5.1</t>
  </si>
  <si>
    <t>3.1</t>
  </si>
  <si>
    <t>3.2</t>
  </si>
  <si>
    <t>3.3</t>
  </si>
  <si>
    <t>7.2</t>
  </si>
  <si>
    <t>LIMPEZA FINAL DE OBRA - (OBRAS CIVIS)</t>
  </si>
  <si>
    <t xml:space="preserve">TRANSPORTE DE ENTULHO EM CAÇAMBA ESTACIONÁRIA INCLUSO A CARGA MANUAL </t>
  </si>
  <si>
    <t>m3</t>
  </si>
  <si>
    <t>Grupo de Serviço: 170 - Instalações hidro-sanitárias</t>
  </si>
  <si>
    <t>4.3</t>
  </si>
  <si>
    <t>4.4</t>
  </si>
  <si>
    <t>4.5</t>
  </si>
  <si>
    <t>4.6</t>
  </si>
  <si>
    <t>4.7</t>
  </si>
  <si>
    <t>4.8</t>
  </si>
  <si>
    <t>Grupo de Serviço: 181 - Vidros</t>
  </si>
  <si>
    <t>SINAPI</t>
  </si>
  <si>
    <t>8.1</t>
  </si>
  <si>
    <t>Grupo de Serviço: 183 - Forros</t>
  </si>
  <si>
    <t xml:space="preserve">m </t>
  </si>
  <si>
    <t>MÊS 3</t>
  </si>
  <si>
    <t xml:space="preserve">LIMPEZA DE ESTRUT.METAL.S/ANDAIME </t>
  </si>
  <si>
    <t xml:space="preserve">REMOCAO DE PINTURA ANTIGA A LATEX </t>
  </si>
  <si>
    <t xml:space="preserve">PINTURA ESMALTE ALQUIDICO ESTR.METALICA 2 DEMAOS </t>
  </si>
  <si>
    <t xml:space="preserve">74245/001 </t>
  </si>
  <si>
    <t xml:space="preserve">PINTURA ACRILICA EM PISO CIMENTADO DUAS DEMAOS </t>
  </si>
  <si>
    <t>Grupo de Serviço: 168 - Estrutura</t>
  </si>
  <si>
    <t xml:space="preserve">ANDAIME METALICO TORRE (ALUGUEL/MES) </t>
  </si>
  <si>
    <t>REFORMA DO GINÁSIO</t>
  </si>
  <si>
    <t xml:space="preserve">DEMOLICAO COBERTURA TELHA CERAMICA C/ TRANSP. ATÉ CB. E CARGA </t>
  </si>
  <si>
    <t>W.C. fem.</t>
  </si>
  <si>
    <t xml:space="preserve">W.C. masc. </t>
  </si>
  <si>
    <t>Comprimento</t>
  </si>
  <si>
    <t>Largura</t>
  </si>
  <si>
    <t>Área</t>
  </si>
  <si>
    <t>1.1</t>
  </si>
  <si>
    <t>1.2</t>
  </si>
  <si>
    <t>Altura</t>
  </si>
  <si>
    <t>Cozinha</t>
  </si>
  <si>
    <t>W.C. masc.</t>
  </si>
  <si>
    <t xml:space="preserve">DEM.ALVEN.TIJOLO S/REAP. C/TR.ATE CB. E CARGA </t>
  </si>
  <si>
    <t xml:space="preserve">m3 </t>
  </si>
  <si>
    <t>Arquibancada</t>
  </si>
  <si>
    <t>Volume</t>
  </si>
  <si>
    <t>1.3</t>
  </si>
  <si>
    <t>1.4</t>
  </si>
  <si>
    <t xml:space="preserve">DEM. MANUAL EM CONCR.SIMPLES C/TR.ATE CB.E CARGA (O.C.) </t>
  </si>
  <si>
    <t>Arcos (2*117,50=2,35)</t>
  </si>
  <si>
    <t xml:space="preserve">DEMOLIÇAO DE BACIA TURCA C/ TRANSP. ATÉ CB. E CARGA </t>
  </si>
  <si>
    <t xml:space="preserve">DEMOLIÇÃO DE MICTÓRIO C/ TRANSP. ATÉ CB. E CARGA </t>
  </si>
  <si>
    <t>W.C. jogadores</t>
  </si>
  <si>
    <t>Banheiro masc.  - abertura de vão de porta</t>
  </si>
  <si>
    <t>Banheiro fem.  - abertura de vão de porta</t>
  </si>
  <si>
    <t>DEMOLIÇÃO DE FORRO PVC INCLUSIVE ESTRUTURA DE SUSTENTAÇÃO C/ TRANSP. ATÉ CB. E CARGA</t>
  </si>
  <si>
    <t xml:space="preserve">PLACA DE OBRA EM CHAPA METÁLICA 26 COM PINTURA, AFIXADA EM CAVALETES DE MADEIRA DE LEI (VIGOTAS 6X12CM) - PADRÃO AGETOP </t>
  </si>
  <si>
    <t xml:space="preserve">DEM. MEIO FIO SEM REAPROV.C/TR.ATE C B E CARGA </t>
  </si>
  <si>
    <t>m</t>
  </si>
  <si>
    <t>Área externa</t>
  </si>
  <si>
    <t>3,05+1,85</t>
  </si>
  <si>
    <t>Espessura</t>
  </si>
  <si>
    <t>4,90*0,15</t>
  </si>
  <si>
    <t>Vestiário</t>
  </si>
  <si>
    <t xml:space="preserve">LAMPADA VAPOR METALICO OVOIDE 400 W </t>
  </si>
  <si>
    <t>Quadra</t>
  </si>
  <si>
    <t xml:space="preserve">LAMPADA COMPACTA ELETRÔNICA COM REATOR INTEGRADO 10 W </t>
  </si>
  <si>
    <t>W.C. jogadores.</t>
  </si>
  <si>
    <t>Bilheteria  - abertura de vão de bilheteria</t>
  </si>
  <si>
    <t>Largura/altura</t>
  </si>
  <si>
    <t>Espessura média</t>
  </si>
  <si>
    <t xml:space="preserve">W.C. fem. - abertura de vão de janela </t>
  </si>
  <si>
    <t>W.C. jogadores - abertura de vão de janela</t>
  </si>
  <si>
    <t xml:space="preserve">Vestiário - abertura de vão de janela </t>
  </si>
  <si>
    <t>Demolição da estrutura da cobertura</t>
  </si>
  <si>
    <t>Retira de janelas e portais</t>
  </si>
  <si>
    <t>Demolição da alvenaria de tijolos</t>
  </si>
  <si>
    <t>Demolição do piso de concreto</t>
  </si>
  <si>
    <t>Demolição do forro PVC</t>
  </si>
  <si>
    <t xml:space="preserve">und. </t>
  </si>
  <si>
    <t>W.C. masculino</t>
  </si>
  <si>
    <t xml:space="preserve">ASSENTO PARA VASO SANITÁRIO </t>
  </si>
  <si>
    <t xml:space="preserve">Banheiro masc. </t>
  </si>
  <si>
    <t xml:space="preserve">Banheiro fem.  </t>
  </si>
  <si>
    <t xml:space="preserve">PORTA PAPEL HIGIENICO EM INOX </t>
  </si>
  <si>
    <t xml:space="preserve">LAVATÓRIO MÉDIO SEM COLUNA </t>
  </si>
  <si>
    <t xml:space="preserve">TORNEIRA PARA LAVATÓRIO DIÂMETRO 1/2" </t>
  </si>
  <si>
    <t xml:space="preserve">MICTORIO DE LOUCA C/SIFAO INTEGRADO </t>
  </si>
  <si>
    <t xml:space="preserve">SIFAO P/PIA 1.1/2"X2" PVC CROMADO </t>
  </si>
  <si>
    <t xml:space="preserve">TORNEIRA P/PIA DIAM. 1/2" E 3/4" DE MESA - BICA MÓVEL </t>
  </si>
  <si>
    <t>1.5</t>
  </si>
  <si>
    <t>1.6</t>
  </si>
  <si>
    <t>1.7</t>
  </si>
  <si>
    <t>1.8</t>
  </si>
  <si>
    <t>1.9</t>
  </si>
  <si>
    <t>1.10</t>
  </si>
  <si>
    <t>ALVENARIA DE TIJOLO FURADO 1/2 VEZ 14X29X9 - 6 FUROS - ARG. (1CALH:4ARML+100KG DE CI/M3)</t>
  </si>
  <si>
    <t>Grupo de Serviço: 172 - Alvenarias e divisórias</t>
  </si>
  <si>
    <t>Banheiro Fem.</t>
  </si>
  <si>
    <t>Banheiro Masc.</t>
  </si>
  <si>
    <t>Bilheteria</t>
  </si>
  <si>
    <t xml:space="preserve">Área </t>
  </si>
  <si>
    <t>1,89+2,00</t>
  </si>
  <si>
    <t>Desconto de janela</t>
  </si>
  <si>
    <t>Desconto de porta</t>
  </si>
  <si>
    <t>Subtotal</t>
  </si>
  <si>
    <t xml:space="preserve">ELEMENTO VAZADO DE CONCRETO </t>
  </si>
  <si>
    <t xml:space="preserve">Arcos </t>
  </si>
  <si>
    <t>Área de uma face</t>
  </si>
  <si>
    <t>Quantidade</t>
  </si>
  <si>
    <t>Área total</t>
  </si>
  <si>
    <t>Grupo de Serviço: 176 - Estrutura de madeira</t>
  </si>
  <si>
    <t xml:space="preserve">ESTRUTURA-TELHA CERÂMICA V=3 A 7 M. C/FERRAGENS </t>
  </si>
  <si>
    <t>Banheiro fem.</t>
  </si>
  <si>
    <t>Grupo de Serviço: 178 - Coberturas</t>
  </si>
  <si>
    <t xml:space="preserve">COBERTURA COM TELHA AMERICANA RESINADA COR VERMELHA </t>
  </si>
  <si>
    <t xml:space="preserve">CUMEEIRA PARA TELHA AMERICANA RESINADA COR VERMELHA </t>
  </si>
  <si>
    <t xml:space="preserve">Banheiro fem. E Banheiro masc. </t>
  </si>
  <si>
    <t>Grupo de Serviço: 180 - Esquadrias metálicas</t>
  </si>
  <si>
    <t>Depósito</t>
  </si>
  <si>
    <t xml:space="preserve">GUARDA CORPO / TUBO INDUSTRIAL GCS-1 </t>
  </si>
  <si>
    <t xml:space="preserve">PORTAO DE ABRIR CHAPA 14 PT-4 C/FERRAGENS </t>
  </si>
  <si>
    <t xml:space="preserve">PORTA ABRIR/VENEZIANA PF-4 C/FERRAGENS </t>
  </si>
  <si>
    <t>Desconto do portão</t>
  </si>
  <si>
    <t>Depósito - Portão</t>
  </si>
  <si>
    <t xml:space="preserve">ESQ.DE CORRER CHAPA/VIDRO J9/J10/J12/J13 C/FERRAGENS </t>
  </si>
  <si>
    <t xml:space="preserve">Vestiário </t>
  </si>
  <si>
    <t xml:space="preserve">VIDRO LISO 4 MM - COLOCADO </t>
  </si>
  <si>
    <t>Grupo de Serviço: 182 -  Revestimento de paredes</t>
  </si>
  <si>
    <t xml:space="preserve">EMBOÇO (1CI:4 ARML) </t>
  </si>
  <si>
    <t xml:space="preserve">REBOCO PAULISTA A-14 (1CALH:4ARMLC+100kgCI/M3) </t>
  </si>
  <si>
    <t>Parte externa</t>
  </si>
  <si>
    <t xml:space="preserve">Comprimento </t>
  </si>
  <si>
    <t xml:space="preserve">Largura </t>
  </si>
  <si>
    <t>Parte interna (1,40+18,57+1,40=21,37)</t>
  </si>
  <si>
    <t>Desconto de vão de porta</t>
  </si>
  <si>
    <t>Desconto de vão de janela</t>
  </si>
  <si>
    <t>Parte interna (2,00+1,74=3,74)</t>
  </si>
  <si>
    <t>Parte externa (2,15+1,89=4,04)</t>
  </si>
  <si>
    <t>Parte interna (2,00+1,50+2,00+1,50=7,00)</t>
  </si>
  <si>
    <t>Parte externa (2,15+1,65=3,80)</t>
  </si>
  <si>
    <t>Banheiro masc.</t>
  </si>
  <si>
    <t>Parte externa (2,15+1,80=3,95)</t>
  </si>
  <si>
    <t xml:space="preserve">FORRO DE PVC COM ESTRUTURA EM METALON PINTADA COM TINTA ALQUÍDICA D.F. </t>
  </si>
  <si>
    <t>Grupo de Serviço: 184 - Revestimento de piso</t>
  </si>
  <si>
    <t>6.2</t>
  </si>
  <si>
    <t>PISO EM CERÂMICA PEI MAIOR OU IGUAL A 4 COM CONTRA PISO (1CI:3ARML) E ARGAMASSA COLANTE</t>
  </si>
  <si>
    <t xml:space="preserve">RODAPÉ DE CERÂMICA COM ARGAMASSA COLANTE </t>
  </si>
  <si>
    <t xml:space="preserve">CERÂMICA ANTIDERRAPANTE PEI MAIOR OU IGUAL A 4 COM CONTRA PISO (1CI:3ARML) E ARGAMASSA COLANTE </t>
  </si>
  <si>
    <t>PISO VINÍLICO TRÁFEGO INTENSO COM CONTRAPISO (1CI:3ARML) E=2CM E NATA DE CIMENTO</t>
  </si>
  <si>
    <t>2,00+1,74+2,00+1,74</t>
  </si>
  <si>
    <t xml:space="preserve">EMASSAMENTO COM MASSA PVA DUAS DEMAOS </t>
  </si>
  <si>
    <t xml:space="preserve">PINT.ESMALTE/ESQUAD.FERRO C/FUNDO ANTICOR. </t>
  </si>
  <si>
    <t>Quadra - Portão entrada principal</t>
  </si>
  <si>
    <t>Quadra - Portão entrada lateral</t>
  </si>
  <si>
    <t>W.C. fem. - parede divisória dos sanitários</t>
  </si>
  <si>
    <t>W.C. Fem.</t>
  </si>
  <si>
    <t>Parede divisória dos sanitários  (1,40+0,15+1,40=2,95)</t>
  </si>
  <si>
    <t>Demolição da cobertura</t>
  </si>
  <si>
    <t>Teto</t>
  </si>
  <si>
    <t>Altura/largura</t>
  </si>
  <si>
    <t xml:space="preserve">Desconto de vão de janela </t>
  </si>
  <si>
    <t>Parede (5,05+3,65+5,05+3,65=17,40)</t>
  </si>
  <si>
    <t>Parede (3,70+2,35+3,70+2,35=12,10)</t>
  </si>
  <si>
    <t>Parede   (1,40+0,15+1,40+3,20+1,70+3,20=11,05)</t>
  </si>
  <si>
    <t>W.C. Masc.</t>
  </si>
  <si>
    <t>Paredes</t>
  </si>
  <si>
    <t>Paredes (0,80+0,80=1,60)</t>
  </si>
  <si>
    <t>Paredes(2,00+1,50+2,00+1,50=7,00)</t>
  </si>
  <si>
    <t>Demolição do meio-fio</t>
  </si>
  <si>
    <t>1,50+2,15+2,00</t>
  </si>
  <si>
    <t>2,00+1,80</t>
  </si>
  <si>
    <t xml:space="preserve">REVESTIMENTO COM CERÂMICA </t>
  </si>
  <si>
    <t>Parede   (2,35+3,70+2,35+3,70+0,10+0,10+1,15+0,35+0,15+0,15+1,15+0,15+0,25+1,15+1,30=18,10)</t>
  </si>
  <si>
    <t xml:space="preserve">Ginásio </t>
  </si>
  <si>
    <t>Paredes internas e espelhos da arquibancada (1,00+5,00+3,85+25,80+3,80+5,20+1,05+23,06+2,15+1,89+33,85+25,25=131,90)</t>
  </si>
  <si>
    <t>Desconto de vão de portão</t>
  </si>
  <si>
    <t>Paredes externas (1,40+10,44+30,55+36,60+5,15+3,35+3,95+3,35+16,46+2,15+3,45+2,15+1,54+0,49=)</t>
  </si>
  <si>
    <t>Desconto de vão da bilheteria</t>
  </si>
  <si>
    <t>Arquibancada - Guarda-corpo</t>
  </si>
  <si>
    <t xml:space="preserve">W.C. fem. - Esquadria </t>
  </si>
  <si>
    <t xml:space="preserve">W.C. masc. - Esquadria </t>
  </si>
  <si>
    <t xml:space="preserve">Banheiro fem.- Esquadria </t>
  </si>
  <si>
    <t xml:space="preserve">Banheiro masc. - Esquadria </t>
  </si>
  <si>
    <t xml:space="preserve">W.C. jogadores.- Esquadria </t>
  </si>
  <si>
    <t xml:space="preserve">Bilheteria- Esquadria </t>
  </si>
  <si>
    <t xml:space="preserve">Vestiário - Esquadria </t>
  </si>
  <si>
    <t xml:space="preserve">Cozinha- Esquadria </t>
  </si>
  <si>
    <t>Banheiro fem. - Porta</t>
  </si>
  <si>
    <t>Banheiro masc. - Porta</t>
  </si>
  <si>
    <t>Bilheteria- Porta</t>
  </si>
  <si>
    <t>Vestiário - Porta</t>
  </si>
  <si>
    <t>W.C. masc. - Porta</t>
  </si>
  <si>
    <t>W.C. fem. - Porta</t>
  </si>
  <si>
    <t>Cozinha - Porta</t>
  </si>
  <si>
    <t>W.C. jogadores - Porta</t>
  </si>
  <si>
    <t>Calçada</t>
  </si>
  <si>
    <t>Área de circulação do ginásio</t>
  </si>
  <si>
    <t>Aquibancada - Assento</t>
  </si>
  <si>
    <t>3,60*4,45+1,60*1,20+1,50*0,20+2,65*0,50+0,40*1,50+6,90*1,2+0,40*1,50+2,30*0,50+0,40*1,50+6,90*1,20+0,40*1,50+3,30*0,50+1,50*0,40+2,11*5,85+1,00*5,00+1,05*31,00</t>
  </si>
  <si>
    <t>Comprimento . Largura</t>
  </si>
  <si>
    <t>0,70*29,75+0,60*29,75+0,60*29,75+0,60*26,05+0,30*1,60+0,30*6,90+0,30*6,90+1,40*25,80+6,80*25,80+0,80*25,80+0,80*25,80</t>
  </si>
  <si>
    <t xml:space="preserve">CAIAÇAO 2 DEMAOS EM POSTE/ VIGAS E MEIO FIO(OC) </t>
  </si>
  <si>
    <t>428,72+74,20</t>
  </si>
  <si>
    <t xml:space="preserve">Aluguel </t>
  </si>
  <si>
    <t>TUBO SOLDAVEL PVC MARROM DIAMETRO 25 mm</t>
  </si>
  <si>
    <t xml:space="preserve">ADAPTAD.PVC SOLD.LONGO C/FLANGES LIVRES P/CX.DAGUA 25X3/4" </t>
  </si>
  <si>
    <t xml:space="preserve">JOELHO 90 GRAUS SOLDAVEL DIAMETRO 25 MM </t>
  </si>
  <si>
    <t xml:space="preserve">TE 90 GRAUS SOLDAVEL DIAMETRO 25 mm </t>
  </si>
  <si>
    <t>0,37+1,05+2,20+0,48+1,00+0,70+0,68+0,30+0,50+0,75+0,15+2,60+1,28+0,65+0,15+2,40+0,15+2,40+3,00+0,15+1,00</t>
  </si>
  <si>
    <t xml:space="preserve">CORPO RALO SIFONADO CONICO DIAM. 100 X 40 </t>
  </si>
  <si>
    <t xml:space="preserve">CORPO CX. SIFONADA DIAM. 100 X 100 X 50 </t>
  </si>
  <si>
    <t xml:space="preserve">JOELHO 90 GRAUS DIAMETRO 40 MM </t>
  </si>
  <si>
    <t xml:space="preserve">JOELHO 45 GRAUS DIAMETRO 50 MM </t>
  </si>
  <si>
    <t xml:space="preserve">JOELHO 45 GRAUS DIAMETRO 75 MM </t>
  </si>
  <si>
    <t xml:space="preserve">LUVA SIMPLES DIAMETRO 40 MM </t>
  </si>
  <si>
    <t xml:space="preserve">JUNCAO SIMPLES DIAMETRO 50 X 50 MM </t>
  </si>
  <si>
    <t xml:space="preserve">TUBO SOLD.P/ESGOTO DIAM. 40 MM </t>
  </si>
  <si>
    <t xml:space="preserve">TUBO SOLD. P/ESGOTO DIAM. 50 MM </t>
  </si>
  <si>
    <t xml:space="preserve">TUBO SOLDAVEL P/ESGOTO DIAM.75 MM </t>
  </si>
  <si>
    <t>0,25+1,48+0,44+0,23+1,48+0,43+1,20</t>
  </si>
  <si>
    <t>1,52+3,00</t>
  </si>
  <si>
    <t>0,50+0,20+0,25+0,20</t>
  </si>
  <si>
    <t xml:space="preserve">TE 90 GRAUS DIAMETRO 40 MM - ESGOTO </t>
  </si>
  <si>
    <t>und.</t>
  </si>
  <si>
    <t xml:space="preserve">FIO ISOLADO PVC 750 V, No. 1,5 MM2 </t>
  </si>
  <si>
    <t xml:space="preserve">INTERRUPTOR SIMPLES (1 SECAO) </t>
  </si>
  <si>
    <t xml:space="preserve">Un </t>
  </si>
  <si>
    <t xml:space="preserve"> Un </t>
  </si>
  <si>
    <t xml:space="preserve">TOMADA TELEFONICA (4 PINOS) </t>
  </si>
  <si>
    <t xml:space="preserve">Banheiro fem. </t>
  </si>
  <si>
    <t>3.4</t>
  </si>
  <si>
    <t>3.5</t>
  </si>
  <si>
    <t xml:space="preserve">VERGA/CONTRAVERGA EM CONCRETO ARMADO FCK = 20 MPA </t>
  </si>
  <si>
    <t>Volume total</t>
  </si>
  <si>
    <t xml:space="preserve">Kg </t>
  </si>
  <si>
    <t xml:space="preserve">ACO CA-50A - 10,0 MM (3/8") - (OBRAS CIVIS) </t>
  </si>
  <si>
    <t xml:space="preserve">ACO CA-50-A - 6,3 MM (1/4") - (OBRAS CIVIS) </t>
  </si>
  <si>
    <t>Peso</t>
  </si>
  <si>
    <t>Peso por metro</t>
  </si>
  <si>
    <t>Pilares dos banheiro</t>
  </si>
  <si>
    <t>Laje dos banheiros</t>
  </si>
  <si>
    <t>Tabela SINAPI 12/2017 - Desonerada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</si>
  <si>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</si>
  <si>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</si>
  <si>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</si>
  <si>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</si>
  <si>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</si>
  <si>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</si>
  <si>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</si>
  <si>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</si>
  <si>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</si>
  <si>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</si>
  <si>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</si>
  <si>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</si>
  <si>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</si>
  <si>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</si>
  <si>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</si>
  <si>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</si>
  <si>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</si>
  <si>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</si>
  <si>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</si>
  <si>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</si>
  <si>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</si>
  <si>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</si>
  <si>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</si>
  <si>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</si>
  <si>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</si>
  <si>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</si>
  <si>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</si>
  <si>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</si>
  <si>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</si>
  <si>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</si>
  <si>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8.2</t>
  </si>
  <si>
    <t>9.1</t>
  </si>
  <si>
    <t>9.2</t>
  </si>
  <si>
    <t>9.3</t>
  </si>
  <si>
    <t>9.4</t>
  </si>
  <si>
    <t>9.5</t>
  </si>
  <si>
    <t>10.1</t>
  </si>
  <si>
    <t>11.1</t>
  </si>
  <si>
    <t>11.4</t>
  </si>
  <si>
    <t>11.2</t>
  </si>
  <si>
    <t>11.3</t>
  </si>
  <si>
    <t>12.1</t>
  </si>
  <si>
    <t>13.1</t>
  </si>
  <si>
    <t>13.2</t>
  </si>
  <si>
    <t>13.3</t>
  </si>
  <si>
    <t>13.4</t>
  </si>
  <si>
    <t>13.5</t>
  </si>
  <si>
    <t>14.1</t>
  </si>
  <si>
    <t>15.1</t>
  </si>
  <si>
    <t>15.2</t>
  </si>
  <si>
    <t>1.1.1</t>
  </si>
  <si>
    <t>1.1.2</t>
  </si>
  <si>
    <t>1.2.1</t>
  </si>
  <si>
    <t>1.2.2</t>
  </si>
  <si>
    <t>1.3.2</t>
  </si>
  <si>
    <t>1.3.3</t>
  </si>
  <si>
    <t>1.4.1</t>
  </si>
  <si>
    <t>1.5.1</t>
  </si>
  <si>
    <t>1.6.1</t>
  </si>
  <si>
    <t>1.7.1</t>
  </si>
  <si>
    <t>1.8.1</t>
  </si>
  <si>
    <t>1.9.1</t>
  </si>
  <si>
    <t>Placa de obra</t>
  </si>
  <si>
    <t>2.1.1</t>
  </si>
  <si>
    <t>2.1.2</t>
  </si>
  <si>
    <t>2.1.3</t>
  </si>
  <si>
    <t>2.1.4</t>
  </si>
  <si>
    <t>2.1.5</t>
  </si>
  <si>
    <t>2.1.6</t>
  </si>
  <si>
    <t>2.1.7</t>
  </si>
  <si>
    <t>3.1.1</t>
  </si>
  <si>
    <t>3.1.2</t>
  </si>
  <si>
    <t>3.1.3</t>
  </si>
  <si>
    <t>3.2.1</t>
  </si>
  <si>
    <t>3.3.1</t>
  </si>
  <si>
    <t>3.4.1</t>
  </si>
  <si>
    <t>3.5.1</t>
  </si>
  <si>
    <t>4.1.1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</si>
  <si>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</si>
  <si>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</si>
  <si>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</si>
  <si>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</si>
  <si>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</si>
  <si>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</si>
  <si>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</si>
  <si>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</si>
  <si>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</si>
  <si>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</si>
  <si>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</si>
  <si>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</si>
  <si>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</si>
  <si>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</si>
  <si>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</si>
  <si>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</si>
  <si>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4.4.1</t>
  </si>
  <si>
    <t>4.5.1</t>
  </si>
  <si>
    <t>4.6.1</t>
  </si>
  <si>
    <t>4.6.2</t>
  </si>
  <si>
    <t>4.6.3</t>
  </si>
  <si>
    <t>4.7.1</t>
  </si>
  <si>
    <t>4.8.1</t>
  </si>
  <si>
    <t>5.3.1</t>
  </si>
  <si>
    <t>5.3.2</t>
  </si>
  <si>
    <t>5.3.3</t>
  </si>
  <si>
    <t>5.4.1</t>
  </si>
  <si>
    <t>5.4.2</t>
  </si>
  <si>
    <t>5.5.1</t>
  </si>
  <si>
    <t>5.5.2</t>
  </si>
  <si>
    <t>5.5.3</t>
  </si>
  <si>
    <t>5.5.4</t>
  </si>
  <si>
    <t>5.7.1</t>
  </si>
  <si>
    <t>5.7.2</t>
  </si>
  <si>
    <t>5.8.1</t>
  </si>
  <si>
    <t>5.8.2</t>
  </si>
  <si>
    <t>5.10.1</t>
  </si>
  <si>
    <t>5.12.1</t>
  </si>
  <si>
    <t>5.13.1</t>
  </si>
  <si>
    <t>6.1.1</t>
  </si>
  <si>
    <t>6.1.2</t>
  </si>
  <si>
    <t>6.1.3</t>
  </si>
  <si>
    <t>6.1.4</t>
  </si>
  <si>
    <t>6.1.5</t>
  </si>
  <si>
    <t>6.1.6</t>
  </si>
  <si>
    <t>6.2.1</t>
  </si>
  <si>
    <t>7.1.1</t>
  </si>
  <si>
    <t>7.1.2</t>
  </si>
  <si>
    <t>7.1.3</t>
  </si>
  <si>
    <t>7.1.4</t>
  </si>
  <si>
    <t>7.2.1</t>
  </si>
  <si>
    <t>7.2.2</t>
  </si>
  <si>
    <t>7.2.3</t>
  </si>
  <si>
    <t>7.2.4</t>
  </si>
  <si>
    <t>8.1.1</t>
  </si>
  <si>
    <t>8.1.2</t>
  </si>
  <si>
    <t>8.1.3</t>
  </si>
  <si>
    <t>8.1.4</t>
  </si>
  <si>
    <t>8.2.1</t>
  </si>
  <si>
    <t>8.2.2</t>
  </si>
  <si>
    <t>9.1.1</t>
  </si>
  <si>
    <t>9.1.2</t>
  </si>
  <si>
    <t>9.1.3</t>
  </si>
  <si>
    <t>9.2.1</t>
  </si>
  <si>
    <t>9.3.1</t>
  </si>
  <si>
    <t>9.3.2</t>
  </si>
  <si>
    <t>9.3.3</t>
  </si>
  <si>
    <t>9.3.4</t>
  </si>
  <si>
    <t>9.3.5</t>
  </si>
  <si>
    <t>9.3.6</t>
  </si>
  <si>
    <t>9.4.1</t>
  </si>
  <si>
    <t>9.4.2</t>
  </si>
  <si>
    <t>9.5.1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</si>
  <si>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</si>
  <si>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</si>
  <si>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</si>
  <si>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</si>
  <si>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</si>
  <si>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</si>
  <si>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</si>
  <si>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</si>
  <si>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11.1.1</t>
  </si>
  <si>
    <t>11.1.2</t>
  </si>
  <si>
    <t>11.1.3</t>
  </si>
  <si>
    <t>11.1.4</t>
  </si>
  <si>
    <t>11.1.5</t>
  </si>
  <si>
    <t>11.1.6</t>
  </si>
  <si>
    <t>11.2.1</t>
  </si>
  <si>
    <t>11.2.2</t>
  </si>
  <si>
    <t>11.2.3</t>
  </si>
  <si>
    <t>11.3.1</t>
  </si>
  <si>
    <t>11.3.2</t>
  </si>
  <si>
    <t>11.3.3</t>
  </si>
  <si>
    <t>11.3.4</t>
  </si>
  <si>
    <t>11.3.5</t>
  </si>
  <si>
    <t>11.3.6</t>
  </si>
  <si>
    <t>11.4.1</t>
  </si>
  <si>
    <t>11.4.2</t>
  </si>
  <si>
    <t>11.4.3</t>
  </si>
  <si>
    <t>12.1.1</t>
  </si>
  <si>
    <t>12.1.2</t>
  </si>
  <si>
    <t>12.1.3</t>
  </si>
  <si>
    <t>12.1.4</t>
  </si>
  <si>
    <t>13.1.1</t>
  </si>
  <si>
    <t>13.1.2</t>
  </si>
  <si>
    <t>13.2.1</t>
  </si>
  <si>
    <t>13.3.1</t>
  </si>
  <si>
    <t>13.4.1</t>
  </si>
  <si>
    <t>13.5.1</t>
  </si>
  <si>
    <t>Arco - alvenaria</t>
  </si>
  <si>
    <t>Arcos - estrutura metálica</t>
  </si>
  <si>
    <t>14.5.1</t>
  </si>
  <si>
    <t>14.5.2</t>
  </si>
  <si>
    <t>14.5.3</t>
  </si>
  <si>
    <t>14.5.4</t>
  </si>
  <si>
    <t>Cobertura - área externa</t>
  </si>
  <si>
    <t xml:space="preserve">Cobertura - área interna </t>
  </si>
  <si>
    <t>35,35*36,66</t>
  </si>
  <si>
    <t>MÊS 4</t>
  </si>
  <si>
    <t>MÊS 5</t>
  </si>
  <si>
    <t>Secretária de Obras</t>
  </si>
  <si>
    <t>Muretas</t>
  </si>
  <si>
    <t>(1,10*5,90+0,60*2,50+1,10*5,80+0,60*1,10+1,10*6,00+0,60+2,50+1,10*5,00+2,00*1,10)*2,00+0,15*(2,00+5,00+0,50+2,50+0,50+6,00+1,10+1,10+1,10+0,50+5,80+0,50+2,50+0,50+5,90+1,10+1,10+1,10)+1,10*2,00*(0,20+30,70+3,10)+0,15*(3,10+1,10+1,10+30,70+1,10+1,10)</t>
  </si>
  <si>
    <t xml:space="preserve">Banco de reservas e área dos juízes </t>
  </si>
  <si>
    <t>0,85*3,00+0,15*1,10+0,50*2,00+0,20*1,10+0,50*1,10+0,85*2,35+0,15*1,10*1,00*1,10*2,00</t>
  </si>
  <si>
    <t>MASTROS PARA BANDEIRAS EM FERRO GALVANIZADO (ASSENTADOS/PINTADOS) - 3 UNIDADES</t>
  </si>
  <si>
    <t xml:space="preserve">TRAVES FERRO GALVANIZADO PARA FUTEBOL DE SALÃO PINTADAS - 3,00 x 2,00M - 2 UNID. </t>
  </si>
  <si>
    <t xml:space="preserve">CONJUNTO PARA VOLEIBOL EM FERRO GALVANIZADO COM PINTURA (2 SUPORTES) </t>
  </si>
  <si>
    <t xml:space="preserve">OBELISCO PARA PLACA DE INAUGURAÇÃO - PADRÃO AGETOP </t>
  </si>
  <si>
    <t>15.3</t>
  </si>
  <si>
    <t>15.4</t>
  </si>
  <si>
    <t>15.5</t>
  </si>
  <si>
    <t>15.6</t>
  </si>
  <si>
    <t>15.7</t>
  </si>
  <si>
    <t>15.8</t>
  </si>
  <si>
    <t>Cj</t>
  </si>
  <si>
    <t>SUPORTE EM TUBO INDUSTRIAL REMOVÍVEL PARA TABELA DE BASQUETE - 2 UNID.(ASSENT./PINTADOS)</t>
  </si>
  <si>
    <t xml:space="preserve"> TABELA PARA BASQUETE ESTRUTURA METÁLICA E COMPENSADO (ASSENT./PINTADAS) ARO METÁLICO - 2 UNID.</t>
  </si>
  <si>
    <t>Grupo de Serviço: 185 - Ferragens</t>
  </si>
  <si>
    <t xml:space="preserve">CADEADO 50 MM </t>
  </si>
  <si>
    <t xml:space="preserve">GRADE GINASIO - TELA PORTUG.3X3CM FIO12/TB.INDUST.1.1/2" </t>
  </si>
  <si>
    <t>9.6</t>
  </si>
  <si>
    <t>9.6.1</t>
  </si>
  <si>
    <t xml:space="preserve">Guarda bicicletas </t>
  </si>
  <si>
    <t>9.7</t>
  </si>
  <si>
    <t>9.7.1</t>
  </si>
  <si>
    <t>9.7.2</t>
  </si>
  <si>
    <t>9.7.3</t>
  </si>
  <si>
    <t>9.7.4</t>
  </si>
  <si>
    <t>9.7.5</t>
  </si>
  <si>
    <t>9.7.6</t>
  </si>
  <si>
    <t>9.7.7</t>
  </si>
  <si>
    <t>W.C. fem. (J=0,60 x 0,60)</t>
  </si>
  <si>
    <t>W.C. masc. (J=0,60 x 0,60)</t>
  </si>
  <si>
    <t>Banheiro fem. (J=0,60 x 0,60)</t>
  </si>
  <si>
    <t>Banheiro masc. (J=0,60 x 0,60)</t>
  </si>
  <si>
    <t>W.C. jogadores. (J=0,60 x 0,60)</t>
  </si>
  <si>
    <t>Vestiário (J=1,00 x 0,50)</t>
  </si>
  <si>
    <t>Cozinha (J=1,00 x 0,50)</t>
  </si>
  <si>
    <t xml:space="preserve">CAIXA DAGUA POLIETILENO 500 LTS.C/TAMPA </t>
  </si>
  <si>
    <t>15.1.1</t>
  </si>
  <si>
    <t>15.1.2</t>
  </si>
  <si>
    <t>15.2.1</t>
  </si>
  <si>
    <t>15.2.2</t>
  </si>
  <si>
    <t>15.3.1</t>
  </si>
  <si>
    <t>15.3.2</t>
  </si>
  <si>
    <t>15.3.3</t>
  </si>
  <si>
    <t>15.3.4</t>
  </si>
  <si>
    <t>15.3.5</t>
  </si>
  <si>
    <t>15.3.6</t>
  </si>
  <si>
    <t>15.3.7</t>
  </si>
  <si>
    <t>15.3.8</t>
  </si>
  <si>
    <t>15.3.9</t>
  </si>
  <si>
    <t>15.3.10</t>
  </si>
  <si>
    <t>15.3.11</t>
  </si>
  <si>
    <t>15.4.1</t>
  </si>
  <si>
    <t>15.4.2</t>
  </si>
  <si>
    <t>15.4.3</t>
  </si>
  <si>
    <t>15.4.4</t>
  </si>
  <si>
    <t>15.4.5</t>
  </si>
  <si>
    <t>15.4.6</t>
  </si>
  <si>
    <t>15.4.7</t>
  </si>
  <si>
    <t>15.4.8</t>
  </si>
  <si>
    <t>15.5.1</t>
  </si>
  <si>
    <t>15.5.2</t>
  </si>
  <si>
    <t>15.5.3</t>
  </si>
  <si>
    <t>15.5.4</t>
  </si>
  <si>
    <t>15.5.5</t>
  </si>
  <si>
    <t>15.5.6</t>
  </si>
  <si>
    <t>15.5.7</t>
  </si>
  <si>
    <t>15.5.8</t>
  </si>
  <si>
    <t>15.5.9</t>
  </si>
  <si>
    <t>15.5.10</t>
  </si>
  <si>
    <t>15.5.11</t>
  </si>
  <si>
    <t>15.5.12</t>
  </si>
  <si>
    <t>15.5.13</t>
  </si>
  <si>
    <t>15.5.14</t>
  </si>
  <si>
    <t>15.5.15</t>
  </si>
  <si>
    <t>15.5.16</t>
  </si>
  <si>
    <t>15.5.17</t>
  </si>
  <si>
    <t>15.5.18</t>
  </si>
  <si>
    <t>15.5.19</t>
  </si>
  <si>
    <t>15.5.20</t>
  </si>
  <si>
    <t>15.7.1</t>
  </si>
  <si>
    <t>15.7.2</t>
  </si>
  <si>
    <t>15.7.3</t>
  </si>
  <si>
    <t>15.7.4</t>
  </si>
  <si>
    <t>15.7.5</t>
  </si>
  <si>
    <t>15.8.1</t>
  </si>
  <si>
    <t>16.1</t>
  </si>
  <si>
    <t>16.2</t>
  </si>
  <si>
    <t>16.3</t>
  </si>
  <si>
    <t>16.4</t>
  </si>
  <si>
    <t>16.5</t>
  </si>
  <si>
    <t>16.6</t>
  </si>
  <si>
    <t>16.7</t>
  </si>
  <si>
    <t>16.8</t>
  </si>
  <si>
    <t xml:space="preserve">RASGO E ENCHIMENTO DE ALVENARIA </t>
  </si>
  <si>
    <t>11.5</t>
  </si>
  <si>
    <t xml:space="preserve">Quantidade </t>
  </si>
  <si>
    <t xml:space="preserve">PISO EM CONCRETO DESEMPENADO ESPESSURA = 7 CM 1:2,5:3,5 </t>
  </si>
  <si>
    <t>13.6</t>
  </si>
  <si>
    <t>Quantidade de meses</t>
  </si>
  <si>
    <t xml:space="preserve">Total </t>
  </si>
  <si>
    <t>Rampa</t>
  </si>
  <si>
    <t>(2,20+1,20)*1,20/2</t>
  </si>
  <si>
    <t>(1,55+1,70)+(0,66+0,22)*1,05/2</t>
  </si>
  <si>
    <t>13.6.1</t>
  </si>
  <si>
    <t xml:space="preserve">MEIO FIO PD. AGETOP EM CONC. PRÉ MOLD. RETO/CURVO (5X25X100CM), FC28=20MPA COM ARGAM.(1CI:3ARMLC) P/ARREMATE DO REJUNT. E PINTURA A CAL 2 DEMÃOS - INCLUSO ESCAV./APILOAM./REATERRO E CONC.FC28= 10MPA P/ ASSENTAM. E CHUMBAMENTO </t>
  </si>
  <si>
    <t>16.9</t>
  </si>
  <si>
    <t>0,30+5,80+0,96</t>
  </si>
  <si>
    <t>Meio-fio  (29,51+30,66+9,26+13,55+10,13+25,13+7,36+2,86+2,80+2,90+4,19+3,00+2,70+2,70+2,80+2,60+3,60+6,44+11,33=173,52)</t>
  </si>
  <si>
    <t>29 DE JANEIRO DE 2018</t>
  </si>
  <si>
    <t>SUBTOTAL DO ITEM</t>
  </si>
  <si>
    <t xml:space="preserve">ELETRODUTO PVC FLEXÍVEL - MANGUEIRA CORRUGADA LEVE - DIAM. 20MM </t>
  </si>
  <si>
    <t xml:space="preserve">LUMINÁRIA TIPO SPOT DE SOBREPOR PARA 01 LÂMPADA </t>
  </si>
  <si>
    <t>FORRO EM LAJE PRE-MOLDADA INC.CAPEAMENTO/FERR.DISTRIB./ESCORAMENTO E FORMA/DESFORMA</t>
  </si>
  <si>
    <t xml:space="preserve">DEMOLIÇÃO ESTRUTURA EM MADEIRA TELHADO C/ TRANSP. ATÉ CB. E CARGA </t>
  </si>
  <si>
    <t xml:space="preserve">RETIRADA DE JANELAS OU PORTAIS C/ TRANSP. ATÉ CB. E CARGA </t>
  </si>
  <si>
    <t>TOMADA HEXAGONAL 2P + T - 10A - 250V</t>
  </si>
  <si>
    <t xml:space="preserve">REGISTRO GAVETA BRUTO DIAMETRO 1/2" </t>
  </si>
  <si>
    <t xml:space="preserve">REGISTRO DE ESFERA DIAM.1/2" </t>
  </si>
  <si>
    <t xml:space="preserve">TUBO SOLDAVEL PVC MARROM DIAM. 50 mm </t>
  </si>
  <si>
    <t xml:space="preserve">GUARDA BICICLETAS </t>
  </si>
  <si>
    <t xml:space="preserve">ESQ.MAXIMO AR CHAPA/VIDRO J1/J2/J7/J15 C/FERRAGENS </t>
  </si>
  <si>
    <t xml:space="preserve">TRATAMENTO P/ESTRUTURA DE TELHADO </t>
  </si>
  <si>
    <t xml:space="preserve">TUBO SOLDAVEL P/ESGOTO DIAM. 100 MM </t>
  </si>
  <si>
    <t>BDI</t>
  </si>
  <si>
    <t>Rua José de Amorim, Quadra 6, Lote 1 - Santo Antônio do Rio Verde - Catalão-GO</t>
  </si>
  <si>
    <t>Instalações elétricas do banheiro masc. Banheiro fem. e bilheteria</t>
  </si>
  <si>
    <t>5.15.1</t>
  </si>
  <si>
    <t>5.16.1</t>
  </si>
  <si>
    <t>5.19.1</t>
  </si>
  <si>
    <t>5.20.1</t>
  </si>
  <si>
    <t>5.22.1</t>
  </si>
  <si>
    <t>5.24.1</t>
  </si>
  <si>
    <t>5.25.1</t>
  </si>
  <si>
    <t>5.27.1</t>
  </si>
  <si>
    <t>5.28.1</t>
  </si>
  <si>
    <t>5.31.1</t>
  </si>
  <si>
    <t xml:space="preserve">W.C. fem. e W.C. masc. </t>
  </si>
  <si>
    <t>5.1.1</t>
  </si>
  <si>
    <t>5.1.2</t>
  </si>
  <si>
    <t>5.1.3</t>
  </si>
  <si>
    <t>5.2.1</t>
  </si>
  <si>
    <t>5.2.2</t>
  </si>
  <si>
    <t>5.2.3</t>
  </si>
  <si>
    <t>5.6.1</t>
  </si>
  <si>
    <t>5.9.1</t>
  </si>
  <si>
    <t>5.11.1</t>
  </si>
  <si>
    <t>5.14.1</t>
  </si>
  <si>
    <t>5.17.1</t>
  </si>
  <si>
    <t>5.18.1</t>
  </si>
  <si>
    <t>5.21.1</t>
  </si>
  <si>
    <t>5.23.1</t>
  </si>
  <si>
    <t>5.26.1</t>
  </si>
  <si>
    <t>5.29.1</t>
  </si>
  <si>
    <t>5.30.1</t>
  </si>
  <si>
    <t>TE REDUCAO 90 GRAUS SOLDAVEL 50 X 25 mm</t>
  </si>
  <si>
    <t xml:space="preserve">JUNCAO SIMPLES DIAM. 100 X 100 MM </t>
  </si>
  <si>
    <t xml:space="preserve">LASTRO DE CONCRETO REGULARIZADO IMPERMEABILIZADO 1:3:6 ESP=5CM (BASE) </t>
  </si>
  <si>
    <t>SEM 1</t>
  </si>
  <si>
    <t>SEM 2</t>
  </si>
  <si>
    <t>SEM 3</t>
  </si>
  <si>
    <t>SEM 4</t>
  </si>
  <si>
    <t>Instalações hidráulica do banheiro masc. banheiro fem.</t>
  </si>
  <si>
    <t>Instalações esgoto sanitário do banheiro masc. banheiro fem.</t>
  </si>
  <si>
    <t>6.3</t>
  </si>
  <si>
    <t xml:space="preserve">DIVISORIA DE GRANITINA </t>
  </si>
  <si>
    <t>6.3.1</t>
  </si>
  <si>
    <t>3.6</t>
  </si>
  <si>
    <t>PREPARO COM BETONEIRA E TRANSPORTE MANUAL DE CONCRETO FCK-15 - (O.C.)</t>
  </si>
  <si>
    <t>3.6.1</t>
  </si>
  <si>
    <t>Pilares dos banheiro - 4 Pilares</t>
  </si>
  <si>
    <t xml:space="preserve">JOELHO 90 GRAUS SOLDAVEL 50 mm (MARROM) </t>
  </si>
  <si>
    <t xml:space="preserve">CHAPISCO COMUM </t>
  </si>
  <si>
    <t xml:space="preserve">MÊS 1 </t>
  </si>
  <si>
    <t xml:space="preserve">VASO SANITÁRIO </t>
  </si>
  <si>
    <t>ANEL DE VEDAÇÃO PARA VASO SANITÁRIO</t>
  </si>
  <si>
    <t>CONJUNTO DE FIXACAO P/VASO SANITARIO (PAR)</t>
  </si>
  <si>
    <t>5.32</t>
  </si>
  <si>
    <t>5.33</t>
  </si>
  <si>
    <t>VÁLVULA DE DESCARGA COM SISTEMA PASSANTE EM POLÍMERO - OPÇÃO ECONÔMICA (
ALTA SEGURANÇA)</t>
  </si>
  <si>
    <t>5.34</t>
  </si>
  <si>
    <t>5.4.3</t>
  </si>
  <si>
    <t>5.5.5</t>
  </si>
  <si>
    <t>5.6.2</t>
  </si>
  <si>
    <t>5.6.3</t>
  </si>
  <si>
    <t>5.6.4</t>
  </si>
  <si>
    <t>5.6.5</t>
  </si>
  <si>
    <t>5.8.3</t>
  </si>
  <si>
    <t>5.8.4</t>
  </si>
  <si>
    <t>5.10.2</t>
  </si>
  <si>
    <t>5.11.2</t>
  </si>
  <si>
    <t>5.32.1</t>
  </si>
  <si>
    <t>5.33.1</t>
  </si>
  <si>
    <t>5.34.1</t>
  </si>
  <si>
    <t>1.11</t>
  </si>
  <si>
    <t>DEM.PISO CERAM.SOBRE LASTRO CONC.C/TR.CB.E CARGA</t>
  </si>
  <si>
    <t>1.5.2</t>
  </si>
  <si>
    <t>1.5.3</t>
  </si>
  <si>
    <t>1.5.4</t>
  </si>
  <si>
    <t>1.5.5</t>
  </si>
  <si>
    <t>1.5.6</t>
  </si>
  <si>
    <t>1.5.7</t>
  </si>
  <si>
    <t>1.5.8</t>
  </si>
  <si>
    <t>1.5.9</t>
  </si>
  <si>
    <t>1.5.10</t>
  </si>
  <si>
    <t>1.5.11</t>
  </si>
  <si>
    <t>1.5.12</t>
  </si>
  <si>
    <t>1.5.13</t>
  </si>
  <si>
    <t>1.10.1</t>
  </si>
  <si>
    <t>1.10.2</t>
  </si>
  <si>
    <t>14.2</t>
  </si>
  <si>
    <t>BARRA PARA PORTADOR DE NECESSIDADES ESPECIAIS - P.N.E. "B6" PADRÃO AGETOP</t>
  </si>
  <si>
    <t>14.2.1</t>
  </si>
  <si>
    <t>14.2.2</t>
  </si>
  <si>
    <t>14.1.1</t>
  </si>
  <si>
    <t>14.1.2</t>
  </si>
  <si>
    <t>14.1.3</t>
  </si>
  <si>
    <t>9.8</t>
  </si>
  <si>
    <t>PORTA DE ABRIR EM CHAPA PF-1A C/FERRAGENS</t>
  </si>
  <si>
    <t>9.6.2</t>
  </si>
  <si>
    <t>9.6.3</t>
  </si>
  <si>
    <t>9.6.4</t>
  </si>
  <si>
    <t>9.6.5</t>
  </si>
  <si>
    <t>9.8.1</t>
  </si>
  <si>
    <t>9.8.2</t>
  </si>
  <si>
    <t>9.8.3</t>
  </si>
  <si>
    <t>9.8.4</t>
  </si>
  <si>
    <t>9.8.5</t>
  </si>
  <si>
    <t>9.8.6</t>
  </si>
  <si>
    <t>9.8.7</t>
  </si>
  <si>
    <t>SOLEIRA EM GRANITO IMPERMEABILIZADA COM CONTRAPISO (1CI:3ARML)</t>
  </si>
  <si>
    <t>13.7</t>
  </si>
  <si>
    <t>13.2.2</t>
  </si>
  <si>
    <t>13.5.2</t>
  </si>
  <si>
    <t>13.5.3</t>
  </si>
  <si>
    <t>13.7.1</t>
  </si>
  <si>
    <t>13.7.2</t>
  </si>
  <si>
    <t>13.2.3</t>
  </si>
  <si>
    <t>13.2.4</t>
  </si>
  <si>
    <t>15.7.6</t>
  </si>
  <si>
    <t>1,40*18,47</t>
  </si>
  <si>
    <t>1.3.4</t>
  </si>
  <si>
    <t>W.C. jogadores  - 2 portas</t>
  </si>
  <si>
    <t>9.6.6</t>
  </si>
  <si>
    <t>cj.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</si>
</sst>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R$&quot;\ * #,##0.00_-;\-&quot;R$&quot;\ * #,##0.00_-;_-&quot;R$&quot;\ * &quot;-&quot;??_-;_-@_-"/>
    <numFmt numFmtId="165" formatCode="_-* #,##0.00_-;\-* #,##0.00_-;_-* &quot;-&quot;??_-;_-@_-"/>
    <numFmt numFmtId="166" formatCode="&quot;R$&quot;\ #,##0.00"/>
    <numFmt numFmtId="167" formatCode="&quot;R$&quot;#,##0.00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8"/>
      <color theme="1"/>
      <name val="Calibri"/>
      <family val="2"/>
      <scheme val="minor"/>
    </font>
    <font>
      <sz val="12"/>
      <color theme="1"/>
      <name val="Lucida Sans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Arial"/>
      <family val="2"/>
    </font>
    <font>
      <sz val="14"/>
      <color theme="0"/>
      <name val="Calibri"/>
      <family val="2"/>
      <scheme val="minor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461">
    <xf numFmtId="0" fontId="0" fillId="0" borderId="0" xfId="0"/>
    <xf numFmtId="0" fontId="0" fillId="0" borderId="0" xfId="0" applyBorder="1"/>
    <xf numFmtId="10" fontId="12" fillId="0" borderId="2" xfId="3" applyNumberFormat="1" applyFont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 vertical="center"/>
    </xf>
    <xf numFmtId="10" fontId="11" fillId="0" borderId="22" xfId="1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7" fillId="0" borderId="45" xfId="0" applyNumberFormat="1" applyFont="1" applyFill="1" applyBorder="1" applyAlignment="1">
      <alignment horizontal="center" vertical="center" wrapText="1"/>
    </xf>
    <xf numFmtId="0" fontId="7" fillId="0" borderId="48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7" fontId="12" fillId="0" borderId="2" xfId="3" applyNumberFormat="1" applyFont="1" applyBorder="1" applyAlignment="1">
      <alignment horizontal="center"/>
    </xf>
    <xf numFmtId="9" fontId="9" fillId="5" borderId="2" xfId="3" applyFont="1" applyFill="1" applyBorder="1" applyAlignment="1">
      <alignment horizontal="center"/>
    </xf>
    <xf numFmtId="9" fontId="9" fillId="0" borderId="2" xfId="3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2" fontId="7" fillId="0" borderId="27" xfId="0" applyNumberFormat="1" applyFont="1" applyBorder="1" applyAlignment="1">
      <alignment horizontal="center" vertical="center" wrapText="1"/>
    </xf>
    <xf numFmtId="10" fontId="9" fillId="5" borderId="2" xfId="3" applyNumberFormat="1" applyFont="1" applyFill="1" applyBorder="1" applyAlignment="1">
      <alignment horizontal="center"/>
    </xf>
    <xf numFmtId="166" fontId="7" fillId="0" borderId="48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left" vertical="center" wrapText="1"/>
    </xf>
    <xf numFmtId="2" fontId="10" fillId="0" borderId="0" xfId="0" applyNumberFormat="1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2" fontId="7" fillId="0" borderId="48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/>
    </xf>
    <xf numFmtId="2" fontId="8" fillId="0" borderId="2" xfId="1" applyNumberFormat="1" applyFont="1" applyBorder="1" applyAlignment="1">
      <alignment horizontal="right" vertical="center"/>
    </xf>
    <xf numFmtId="9" fontId="9" fillId="0" borderId="2" xfId="3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2" xfId="1" applyNumberFormat="1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8" fillId="0" borderId="6" xfId="0" applyNumberFormat="1" applyFont="1" applyBorder="1" applyAlignment="1">
      <alignment horizontal="center" vertical="center" wrapText="1"/>
    </xf>
    <xf numFmtId="166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166" fontId="7" fillId="0" borderId="49" xfId="2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6" fontId="8" fillId="0" borderId="0" xfId="0" applyNumberFormat="1" applyFont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19" xfId="0" applyFont="1" applyBorder="1" applyAlignment="1">
      <alignment horizontal="left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2" fontId="8" fillId="0" borderId="19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166" fontId="8" fillId="0" borderId="0" xfId="0" applyNumberFormat="1" applyFont="1" applyFill="1" applyBorder="1" applyAlignment="1">
      <alignment horizontal="center" vertical="center"/>
    </xf>
    <xf numFmtId="0" fontId="8" fillId="0" borderId="2" xfId="0" quotePrefix="1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166" fontId="7" fillId="0" borderId="0" xfId="2" applyNumberFormat="1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6" fontId="20" fillId="0" borderId="36" xfId="2" applyNumberFormat="1" applyFont="1" applyBorder="1" applyAlignment="1">
      <alignment horizontal="center" vertical="center"/>
    </xf>
    <xf numFmtId="166" fontId="20" fillId="0" borderId="22" xfId="2" applyNumberFormat="1" applyFont="1" applyBorder="1" applyAlignment="1">
      <alignment horizontal="center" vertical="center"/>
    </xf>
    <xf numFmtId="166" fontId="19" fillId="0" borderId="21" xfId="2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6" fontId="8" fillId="0" borderId="1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" fontId="8" fillId="0" borderId="2" xfId="0" applyNumberFormat="1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0" fontId="7" fillId="0" borderId="8" xfId="0" applyNumberFormat="1" applyFont="1" applyBorder="1" applyAlignment="1">
      <alignment horizontal="center" vertical="center" wrapText="1"/>
    </xf>
    <xf numFmtId="166" fontId="19" fillId="0" borderId="22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2" fontId="15" fillId="0" borderId="21" xfId="0" applyNumberFormat="1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2" fontId="15" fillId="0" borderId="24" xfId="0" applyNumberFormat="1" applyFont="1" applyBorder="1" applyAlignment="1">
      <alignment horizontal="right" vertical="center"/>
    </xf>
    <xf numFmtId="2" fontId="7" fillId="0" borderId="1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2" fontId="8" fillId="0" borderId="2" xfId="0" quotePrefix="1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horizontal="left" vertical="center"/>
    </xf>
    <xf numFmtId="2" fontId="15" fillId="0" borderId="2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2" fontId="15" fillId="0" borderId="2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right" vertical="center"/>
    </xf>
    <xf numFmtId="2" fontId="5" fillId="0" borderId="2" xfId="0" applyNumberFormat="1" applyFont="1" applyBorder="1" applyAlignment="1">
      <alignment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Alignment="1">
      <alignment horizontal="center" vertical="center"/>
    </xf>
    <xf numFmtId="2" fontId="5" fillId="0" borderId="2" xfId="0" applyNumberFormat="1" applyFont="1" applyBorder="1" applyAlignment="1">
      <alignment horizontal="left" vertical="center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2" fontId="5" fillId="0" borderId="2" xfId="0" applyNumberFormat="1" applyFont="1" applyFill="1" applyBorder="1" applyAlignment="1">
      <alignment horizontal="left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15" fillId="0" borderId="24" xfId="0" applyNumberFormat="1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center" vertical="center" wrapText="1"/>
    </xf>
    <xf numFmtId="2" fontId="7" fillId="0" borderId="2" xfId="1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54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1" fontId="15" fillId="0" borderId="24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1" fontId="15" fillId="0" borderId="35" xfId="0" applyNumberFormat="1" applyFont="1" applyBorder="1" applyAlignment="1">
      <alignment horizontal="right" vertical="center"/>
    </xf>
    <xf numFmtId="2" fontId="7" fillId="0" borderId="10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/>
    </xf>
    <xf numFmtId="2" fontId="15" fillId="0" borderId="0" xfId="0" applyNumberFormat="1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/>
    </xf>
    <xf numFmtId="2" fontId="4" fillId="0" borderId="2" xfId="0" applyNumberFormat="1" applyFont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2" fontId="7" fillId="0" borderId="2" xfId="0" quotePrefix="1" applyNumberFormat="1" applyFont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2" fontId="7" fillId="0" borderId="2" xfId="0" quotePrefix="1" applyNumberFormat="1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2" fontId="8" fillId="0" borderId="2" xfId="0" quotePrefix="1" applyNumberFormat="1" applyFont="1" applyFill="1" applyBorder="1" applyAlignment="1">
      <alignment horizontal="left" vertical="center" wrapText="1"/>
    </xf>
    <xf numFmtId="2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2" fontId="15" fillId="0" borderId="2" xfId="0" applyNumberFormat="1" applyFont="1" applyFill="1" applyBorder="1" applyAlignment="1">
      <alignment horizontal="right" vertical="center"/>
    </xf>
    <xf numFmtId="0" fontId="7" fillId="0" borderId="2" xfId="0" quotePrefix="1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2" fontId="7" fillId="0" borderId="54" xfId="0" applyNumberFormat="1" applyFont="1" applyBorder="1" applyAlignment="1">
      <alignment horizontal="left" vertical="center" wrapText="1"/>
    </xf>
    <xf numFmtId="2" fontId="7" fillId="0" borderId="54" xfId="0" applyNumberFormat="1" applyFont="1" applyBorder="1" applyAlignment="1">
      <alignment horizontal="center" vertical="center" wrapText="1"/>
    </xf>
    <xf numFmtId="2" fontId="15" fillId="0" borderId="54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vertical="center"/>
    </xf>
    <xf numFmtId="2" fontId="15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2" fontId="7" fillId="0" borderId="2" xfId="1" applyNumberFormat="1" applyFont="1" applyBorder="1" applyAlignment="1">
      <alignment horizontal="left" vertical="center"/>
    </xf>
    <xf numFmtId="0" fontId="0" fillId="2" borderId="15" xfId="0" applyFill="1" applyBorder="1"/>
    <xf numFmtId="0" fontId="10" fillId="2" borderId="16" xfId="0" applyFont="1" applyFill="1" applyBorder="1"/>
    <xf numFmtId="0" fontId="10" fillId="2" borderId="16" xfId="0" applyFont="1" applyFill="1" applyBorder="1" applyAlignment="1">
      <alignment horizontal="center"/>
    </xf>
    <xf numFmtId="0" fontId="0" fillId="2" borderId="16" xfId="0" applyFill="1" applyBorder="1"/>
    <xf numFmtId="0" fontId="0" fillId="2" borderId="17" xfId="0" applyFill="1" applyBorder="1"/>
    <xf numFmtId="0" fontId="0" fillId="2" borderId="1" xfId="0" applyFill="1" applyBorder="1"/>
    <xf numFmtId="0" fontId="10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11" xfId="0" applyFill="1" applyBorder="1"/>
    <xf numFmtId="0" fontId="0" fillId="2" borderId="12" xfId="0" applyFill="1" applyBorder="1"/>
    <xf numFmtId="0" fontId="10" fillId="2" borderId="13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22" fillId="0" borderId="7" xfId="0" applyFont="1" applyBorder="1" applyAlignment="1">
      <alignment vertical="center"/>
    </xf>
    <xf numFmtId="0" fontId="22" fillId="0" borderId="7" xfId="0" applyFont="1" applyBorder="1" applyAlignment="1">
      <alignment vertical="center" wrapText="1"/>
    </xf>
    <xf numFmtId="0" fontId="11" fillId="4" borderId="8" xfId="0" applyFont="1" applyFill="1" applyBorder="1" applyAlignment="1">
      <alignment horizontal="center"/>
    </xf>
    <xf numFmtId="9" fontId="9" fillId="0" borderId="8" xfId="3" applyFont="1" applyBorder="1" applyAlignment="1">
      <alignment horizontal="center"/>
    </xf>
    <xf numFmtId="10" fontId="9" fillId="5" borderId="8" xfId="3" applyNumberFormat="1" applyFont="1" applyFill="1" applyBorder="1" applyAlignment="1">
      <alignment horizontal="center"/>
    </xf>
    <xf numFmtId="9" fontId="9" fillId="5" borderId="8" xfId="3" applyFont="1" applyFill="1" applyBorder="1" applyAlignment="1">
      <alignment horizontal="center"/>
    </xf>
    <xf numFmtId="10" fontId="12" fillId="0" borderId="8" xfId="3" applyNumberFormat="1" applyFont="1" applyBorder="1" applyAlignment="1">
      <alignment horizontal="center"/>
    </xf>
    <xf numFmtId="167" fontId="12" fillId="0" borderId="8" xfId="3" applyNumberFormat="1" applyFont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9" fontId="9" fillId="5" borderId="6" xfId="3" applyFont="1" applyFill="1" applyBorder="1" applyAlignment="1">
      <alignment horizontal="center"/>
    </xf>
    <xf numFmtId="9" fontId="9" fillId="5" borderId="22" xfId="3" applyFont="1" applyFill="1" applyBorder="1" applyAlignment="1">
      <alignment horizontal="center"/>
    </xf>
    <xf numFmtId="10" fontId="9" fillId="5" borderId="6" xfId="3" applyNumberFormat="1" applyFont="1" applyFill="1" applyBorder="1" applyAlignment="1">
      <alignment horizontal="center"/>
    </xf>
    <xf numFmtId="10" fontId="9" fillId="5" borderId="22" xfId="3" applyNumberFormat="1" applyFont="1" applyFill="1" applyBorder="1" applyAlignment="1">
      <alignment horizontal="center"/>
    </xf>
    <xf numFmtId="9" fontId="9" fillId="0" borderId="6" xfId="3" applyFont="1" applyBorder="1" applyAlignment="1">
      <alignment horizontal="center"/>
    </xf>
    <xf numFmtId="9" fontId="9" fillId="0" borderId="22" xfId="3" applyFont="1" applyFill="1" applyBorder="1" applyAlignment="1">
      <alignment horizontal="center"/>
    </xf>
    <xf numFmtId="9" fontId="9" fillId="0" borderId="22" xfId="3" applyFont="1" applyBorder="1" applyAlignment="1">
      <alignment horizontal="center"/>
    </xf>
    <xf numFmtId="10" fontId="12" fillId="0" borderId="6" xfId="3" applyNumberFormat="1" applyFont="1" applyBorder="1" applyAlignment="1">
      <alignment horizontal="center"/>
    </xf>
    <xf numFmtId="10" fontId="12" fillId="0" borderId="22" xfId="3" applyNumberFormat="1" applyFont="1" applyBorder="1" applyAlignment="1">
      <alignment horizontal="center"/>
    </xf>
    <xf numFmtId="167" fontId="12" fillId="0" borderId="37" xfId="3" applyNumberFormat="1" applyFont="1" applyBorder="1" applyAlignment="1">
      <alignment horizontal="center"/>
    </xf>
    <xf numFmtId="167" fontId="12" fillId="0" borderId="35" xfId="3" applyNumberFormat="1" applyFont="1" applyBorder="1" applyAlignment="1">
      <alignment horizontal="center"/>
    </xf>
    <xf numFmtId="167" fontId="12" fillId="0" borderId="36" xfId="3" applyNumberFormat="1" applyFont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9" fontId="9" fillId="0" borderId="7" xfId="3" applyFont="1" applyBorder="1" applyAlignment="1">
      <alignment horizontal="center"/>
    </xf>
    <xf numFmtId="10" fontId="9" fillId="5" borderId="7" xfId="3" applyNumberFormat="1" applyFont="1" applyFill="1" applyBorder="1" applyAlignment="1">
      <alignment horizontal="center"/>
    </xf>
    <xf numFmtId="9" fontId="9" fillId="5" borderId="7" xfId="3" applyFont="1" applyFill="1" applyBorder="1" applyAlignment="1">
      <alignment horizontal="center"/>
    </xf>
    <xf numFmtId="10" fontId="12" fillId="0" borderId="7" xfId="3" applyNumberFormat="1" applyFont="1" applyBorder="1" applyAlignment="1">
      <alignment horizontal="center"/>
    </xf>
    <xf numFmtId="167" fontId="12" fillId="0" borderId="7" xfId="3" applyNumberFormat="1" applyFont="1" applyBorder="1" applyAlignment="1">
      <alignment horizontal="center"/>
    </xf>
    <xf numFmtId="9" fontId="9" fillId="0" borderId="8" xfId="3" applyFont="1" applyFill="1" applyBorder="1" applyAlignment="1">
      <alignment horizontal="center"/>
    </xf>
    <xf numFmtId="166" fontId="12" fillId="0" borderId="4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/>
    </xf>
    <xf numFmtId="166" fontId="19" fillId="0" borderId="36" xfId="2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right" vertical="center"/>
    </xf>
    <xf numFmtId="2" fontId="7" fillId="0" borderId="49" xfId="0" applyNumberFormat="1" applyFont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left" vertical="center" wrapText="1"/>
    </xf>
    <xf numFmtId="2" fontId="8" fillId="0" borderId="10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0" fontId="15" fillId="0" borderId="19" xfId="0" applyFont="1" applyBorder="1" applyAlignment="1">
      <alignment horizontal="center" vertical="center"/>
    </xf>
    <xf numFmtId="2" fontId="15" fillId="0" borderId="19" xfId="0" applyNumberFormat="1" applyFont="1" applyBorder="1" applyAlignment="1">
      <alignment vertical="center" wrapText="1"/>
    </xf>
    <xf numFmtId="2" fontId="15" fillId="0" borderId="19" xfId="0" applyNumberFormat="1" applyFont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right" vertical="center"/>
    </xf>
    <xf numFmtId="2" fontId="7" fillId="0" borderId="2" xfId="1" applyNumberFormat="1" applyFont="1" applyBorder="1" applyAlignment="1">
      <alignment horizontal="center" vertical="center"/>
    </xf>
    <xf numFmtId="2" fontId="8" fillId="0" borderId="2" xfId="1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 vertical="center"/>
    </xf>
    <xf numFmtId="2" fontId="2" fillId="0" borderId="2" xfId="0" applyNumberFormat="1" applyFont="1" applyBorder="1" applyAlignment="1">
      <alignment horizontal="left" vertical="center"/>
    </xf>
    <xf numFmtId="167" fontId="24" fillId="7" borderId="6" xfId="3" applyNumberFormat="1" applyFont="1" applyFill="1" applyBorder="1" applyAlignment="1">
      <alignment horizontal="center"/>
    </xf>
    <xf numFmtId="167" fontId="24" fillId="7" borderId="2" xfId="3" applyNumberFormat="1" applyFont="1" applyFill="1" applyBorder="1" applyAlignment="1">
      <alignment horizontal="center"/>
    </xf>
    <xf numFmtId="167" fontId="24" fillId="7" borderId="22" xfId="3" applyNumberFormat="1" applyFont="1" applyFill="1" applyBorder="1" applyAlignment="1">
      <alignment horizontal="center"/>
    </xf>
    <xf numFmtId="167" fontId="24" fillId="7" borderId="8" xfId="3" applyNumberFormat="1" applyFont="1" applyFill="1" applyBorder="1" applyAlignment="1">
      <alignment horizontal="center"/>
    </xf>
    <xf numFmtId="167" fontId="24" fillId="7" borderId="7" xfId="3" applyNumberFormat="1" applyFont="1" applyFill="1" applyBorder="1" applyAlignment="1">
      <alignment horizontal="center"/>
    </xf>
    <xf numFmtId="166" fontId="25" fillId="0" borderId="4" xfId="0" applyNumberFormat="1" applyFont="1" applyBorder="1" applyAlignment="1">
      <alignment horizontal="right" vertical="center"/>
    </xf>
    <xf numFmtId="10" fontId="23" fillId="0" borderId="22" xfId="1" applyNumberFormat="1" applyFont="1" applyBorder="1" applyAlignment="1">
      <alignment horizontal="center" vertical="center"/>
    </xf>
    <xf numFmtId="0" fontId="26" fillId="0" borderId="0" xfId="0" applyFont="1"/>
    <xf numFmtId="166" fontId="27" fillId="0" borderId="8" xfId="0" applyNumberFormat="1" applyFont="1" applyBorder="1" applyAlignment="1">
      <alignment horizontal="right"/>
    </xf>
    <xf numFmtId="0" fontId="7" fillId="0" borderId="45" xfId="0" applyNumberFormat="1" applyFont="1" applyBorder="1" applyAlignment="1">
      <alignment horizontal="center" vertical="center" wrapText="1"/>
    </xf>
    <xf numFmtId="2" fontId="7" fillId="0" borderId="4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5" fillId="0" borderId="19" xfId="0" applyNumberFormat="1" applyFont="1" applyBorder="1" applyAlignment="1">
      <alignment horizontal="right" vertical="center"/>
    </xf>
    <xf numFmtId="2" fontId="15" fillId="0" borderId="19" xfId="0" applyNumberFormat="1" applyFont="1" applyBorder="1" applyAlignment="1">
      <alignment horizontal="left" vertical="center"/>
    </xf>
    <xf numFmtId="2" fontId="1" fillId="0" borderId="2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166" fontId="8" fillId="0" borderId="16" xfId="0" applyNumberFormat="1" applyFont="1" applyBorder="1" applyAlignment="1">
      <alignment horizontal="center" vertical="center"/>
    </xf>
    <xf numFmtId="166" fontId="8" fillId="0" borderId="17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0" fillId="0" borderId="52" xfId="0" applyFont="1" applyBorder="1" applyAlignment="1">
      <alignment horizontal="right" vertical="center" wrapText="1"/>
    </xf>
    <xf numFmtId="0" fontId="20" fillId="0" borderId="41" xfId="0" applyFont="1" applyBorder="1" applyAlignment="1">
      <alignment horizontal="right" vertical="center" wrapText="1"/>
    </xf>
    <xf numFmtId="0" fontId="20" fillId="0" borderId="29" xfId="0" applyFont="1" applyBorder="1" applyAlignment="1">
      <alignment horizontal="right" vertical="center" wrapText="1"/>
    </xf>
    <xf numFmtId="0" fontId="20" fillId="0" borderId="33" xfId="0" applyFont="1" applyFill="1" applyBorder="1" applyAlignment="1">
      <alignment horizontal="right" vertical="center" wrapText="1"/>
    </xf>
    <xf numFmtId="0" fontId="20" fillId="0" borderId="50" xfId="0" applyFont="1" applyFill="1" applyBorder="1" applyAlignment="1">
      <alignment horizontal="right" vertical="center" wrapText="1"/>
    </xf>
    <xf numFmtId="0" fontId="20" fillId="0" borderId="34" xfId="0" applyFont="1" applyFill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33" xfId="0" applyFont="1" applyBorder="1" applyAlignment="1">
      <alignment horizontal="right" vertical="center" wrapText="1"/>
    </xf>
    <xf numFmtId="0" fontId="7" fillId="0" borderId="50" xfId="0" applyFont="1" applyBorder="1" applyAlignment="1">
      <alignment horizontal="right" vertical="center" wrapText="1"/>
    </xf>
    <xf numFmtId="0" fontId="7" fillId="0" borderId="34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23" xfId="0" applyFont="1" applyBorder="1" applyAlignment="1">
      <alignment horizontal="right"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1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left" vertical="center" wrapText="1"/>
    </xf>
    <xf numFmtId="0" fontId="7" fillId="4" borderId="31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3" borderId="30" xfId="0" applyFont="1" applyFill="1" applyBorder="1" applyAlignment="1">
      <alignment horizontal="left" vertical="center" wrapText="1"/>
    </xf>
    <xf numFmtId="0" fontId="7" fillId="3" borderId="31" xfId="0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left" vertical="center" wrapText="1"/>
    </xf>
    <xf numFmtId="0" fontId="18" fillId="6" borderId="30" xfId="0" applyFont="1" applyFill="1" applyBorder="1" applyAlignment="1">
      <alignment horizontal="center" vertical="center" wrapText="1"/>
    </xf>
    <xf numFmtId="0" fontId="18" fillId="6" borderId="31" xfId="0" applyFont="1" applyFill="1" applyBorder="1" applyAlignment="1">
      <alignment horizontal="center" vertical="center" wrapText="1"/>
    </xf>
    <xf numFmtId="0" fontId="18" fillId="6" borderId="32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right" vertical="center" wrapText="1"/>
    </xf>
    <xf numFmtId="0" fontId="19" fillId="0" borderId="4" xfId="0" applyFont="1" applyBorder="1" applyAlignment="1">
      <alignment horizontal="right" vertical="center" wrapText="1"/>
    </xf>
    <xf numFmtId="166" fontId="8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horizontal="right" vertical="center" wrapText="1"/>
    </xf>
    <xf numFmtId="0" fontId="7" fillId="0" borderId="32" xfId="0" applyFont="1" applyFill="1" applyBorder="1" applyAlignment="1">
      <alignment horizontal="right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right" vertic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right" vertical="center"/>
    </xf>
    <xf numFmtId="2" fontId="15" fillId="0" borderId="4" xfId="0" applyNumberFormat="1" applyFont="1" applyBorder="1" applyAlignment="1">
      <alignment horizontal="right" vertical="center"/>
    </xf>
    <xf numFmtId="2" fontId="15" fillId="0" borderId="8" xfId="0" applyNumberFormat="1" applyFont="1" applyBorder="1" applyAlignment="1">
      <alignment horizontal="right" vertical="center"/>
    </xf>
    <xf numFmtId="2" fontId="15" fillId="0" borderId="38" xfId="0" applyNumberFormat="1" applyFont="1" applyBorder="1" applyAlignment="1">
      <alignment horizontal="right" vertical="center"/>
    </xf>
    <xf numFmtId="2" fontId="15" fillId="0" borderId="50" xfId="0" applyNumberFormat="1" applyFont="1" applyBorder="1" applyAlignment="1">
      <alignment horizontal="right" vertical="center"/>
    </xf>
    <xf numFmtId="2" fontId="15" fillId="0" borderId="34" xfId="0" applyNumberFormat="1" applyFont="1" applyBorder="1" applyAlignment="1">
      <alignment horizontal="right" vertical="center"/>
    </xf>
    <xf numFmtId="2" fontId="15" fillId="0" borderId="7" xfId="0" applyNumberFormat="1" applyFont="1" applyFill="1" applyBorder="1" applyAlignment="1">
      <alignment horizontal="right" vertical="center"/>
    </xf>
    <xf numFmtId="2" fontId="15" fillId="0" borderId="4" xfId="0" applyNumberFormat="1" applyFont="1" applyFill="1" applyBorder="1" applyAlignment="1">
      <alignment horizontal="right" vertical="center"/>
    </xf>
    <xf numFmtId="2" fontId="15" fillId="0" borderId="8" xfId="0" applyNumberFormat="1" applyFont="1" applyFill="1" applyBorder="1" applyAlignment="1">
      <alignment horizontal="right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/>
    </xf>
    <xf numFmtId="2" fontId="15" fillId="0" borderId="8" xfId="0" applyNumberFormat="1" applyFont="1" applyBorder="1" applyAlignment="1">
      <alignment horizontal="center" vertical="center"/>
    </xf>
    <xf numFmtId="2" fontId="8" fillId="0" borderId="7" xfId="1" applyNumberFormat="1" applyFont="1" applyBorder="1" applyAlignment="1">
      <alignment horizontal="center" vertical="center"/>
    </xf>
    <xf numFmtId="2" fontId="8" fillId="0" borderId="8" xfId="1" applyNumberFormat="1" applyFont="1" applyBorder="1" applyAlignment="1">
      <alignment horizontal="center" vertical="center"/>
    </xf>
    <xf numFmtId="2" fontId="7" fillId="0" borderId="7" xfId="1" applyNumberFormat="1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center" vertical="center"/>
    </xf>
    <xf numFmtId="2" fontId="15" fillId="0" borderId="53" xfId="0" applyNumberFormat="1" applyFont="1" applyBorder="1" applyAlignment="1">
      <alignment horizontal="center" vertical="center"/>
    </xf>
    <xf numFmtId="2" fontId="15" fillId="0" borderId="10" xfId="0" applyNumberFormat="1" applyFont="1" applyBorder="1" applyAlignment="1">
      <alignment horizontal="center" vertical="center"/>
    </xf>
    <xf numFmtId="2" fontId="15" fillId="0" borderId="2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43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1" fontId="8" fillId="0" borderId="7" xfId="1" applyNumberFormat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/>
    </xf>
    <xf numFmtId="1" fontId="8" fillId="0" borderId="8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15" fillId="0" borderId="24" xfId="0" applyNumberFormat="1" applyFont="1" applyBorder="1" applyAlignment="1">
      <alignment horizontal="right" vertical="center"/>
    </xf>
    <xf numFmtId="0" fontId="7" fillId="3" borderId="30" xfId="0" quotePrefix="1" applyFont="1" applyFill="1" applyBorder="1" applyAlignment="1">
      <alignment horizontal="left" vertical="center" wrapText="1"/>
    </xf>
    <xf numFmtId="0" fontId="7" fillId="3" borderId="31" xfId="0" quotePrefix="1" applyFont="1" applyFill="1" applyBorder="1" applyAlignment="1">
      <alignment horizontal="left" vertical="center" wrapText="1"/>
    </xf>
    <xf numFmtId="0" fontId="7" fillId="3" borderId="32" xfId="0" quotePrefix="1" applyFont="1" applyFill="1" applyBorder="1" applyAlignment="1">
      <alignment horizontal="left" vertical="center" wrapText="1"/>
    </xf>
    <xf numFmtId="2" fontId="1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165" fontId="7" fillId="4" borderId="30" xfId="1" applyFont="1" applyFill="1" applyBorder="1" applyAlignment="1">
      <alignment horizontal="left" vertical="center"/>
    </xf>
    <xf numFmtId="165" fontId="7" fillId="4" borderId="31" xfId="1" applyFont="1" applyFill="1" applyBorder="1" applyAlignment="1">
      <alignment horizontal="left" vertical="center"/>
    </xf>
    <xf numFmtId="165" fontId="7" fillId="4" borderId="32" xfId="1" applyFont="1" applyFill="1" applyBorder="1" applyAlignment="1">
      <alignment horizontal="left" vertical="center"/>
    </xf>
    <xf numFmtId="2" fontId="5" fillId="0" borderId="2" xfId="0" applyNumberFormat="1" applyFont="1" applyBorder="1" applyAlignment="1">
      <alignment horizontal="center" vertical="center"/>
    </xf>
    <xf numFmtId="2" fontId="15" fillId="0" borderId="28" xfId="0" applyNumberFormat="1" applyFont="1" applyBorder="1" applyAlignment="1">
      <alignment horizontal="center" vertical="center"/>
    </xf>
    <xf numFmtId="2" fontId="15" fillId="0" borderId="29" xfId="0" applyNumberFormat="1" applyFont="1" applyBorder="1" applyAlignment="1">
      <alignment horizontal="center" vertical="center"/>
    </xf>
    <xf numFmtId="2" fontId="8" fillId="0" borderId="2" xfId="1" applyNumberFormat="1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 wrapText="1"/>
    </xf>
    <xf numFmtId="2" fontId="15" fillId="0" borderId="8" xfId="0" applyNumberFormat="1" applyFont="1" applyBorder="1" applyAlignment="1">
      <alignment horizontal="center" vertical="center" wrapText="1"/>
    </xf>
    <xf numFmtId="2" fontId="15" fillId="0" borderId="53" xfId="0" applyNumberFormat="1" applyFont="1" applyBorder="1" applyAlignment="1">
      <alignment horizontal="right" vertical="center"/>
    </xf>
    <xf numFmtId="2" fontId="15" fillId="0" borderId="10" xfId="0" applyNumberFormat="1" applyFont="1" applyBorder="1" applyAlignment="1">
      <alignment horizontal="right" vertical="center"/>
    </xf>
    <xf numFmtId="2" fontId="15" fillId="0" borderId="25" xfId="0" applyNumberFormat="1" applyFont="1" applyBorder="1" applyAlignment="1">
      <alignment horizontal="right" vertical="center"/>
    </xf>
    <xf numFmtId="0" fontId="7" fillId="3" borderId="30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7" fillId="3" borderId="32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2" fontId="7" fillId="0" borderId="45" xfId="0" applyNumberFormat="1" applyFont="1" applyBorder="1" applyAlignment="1">
      <alignment horizontal="center" vertical="center" wrapText="1"/>
    </xf>
    <xf numFmtId="2" fontId="7" fillId="0" borderId="48" xfId="0" applyNumberFormat="1" applyFont="1" applyBorder="1" applyAlignment="1">
      <alignment horizontal="center" vertical="center" wrapText="1"/>
    </xf>
    <xf numFmtId="2" fontId="7" fillId="0" borderId="46" xfId="0" applyNumberFormat="1" applyFont="1" applyBorder="1" applyAlignment="1">
      <alignment horizontal="center" vertical="center" wrapText="1"/>
    </xf>
    <xf numFmtId="2" fontId="7" fillId="0" borderId="49" xfId="0" applyNumberFormat="1" applyFont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left" vertical="center"/>
    </xf>
    <xf numFmtId="0" fontId="7" fillId="3" borderId="48" xfId="0" applyFont="1" applyFill="1" applyBorder="1" applyAlignment="1">
      <alignment horizontal="left" vertical="center"/>
    </xf>
    <xf numFmtId="0" fontId="7" fillId="3" borderId="49" xfId="0" applyFont="1" applyFill="1" applyBorder="1" applyAlignment="1">
      <alignment horizontal="left" vertical="center"/>
    </xf>
    <xf numFmtId="2" fontId="7" fillId="0" borderId="2" xfId="1" applyNumberFormat="1" applyFont="1" applyBorder="1" applyAlignment="1">
      <alignment horizontal="center" vertical="center"/>
    </xf>
    <xf numFmtId="2" fontId="8" fillId="0" borderId="4" xfId="1" applyNumberFormat="1" applyFont="1" applyBorder="1" applyAlignment="1">
      <alignment horizontal="center" vertical="center"/>
    </xf>
    <xf numFmtId="2" fontId="8" fillId="0" borderId="5" xfId="1" applyNumberFormat="1" applyFont="1" applyBorder="1" applyAlignment="1">
      <alignment horizontal="center" vertical="center"/>
    </xf>
    <xf numFmtId="2" fontId="15" fillId="0" borderId="43" xfId="0" applyNumberFormat="1" applyFont="1" applyBorder="1" applyAlignment="1">
      <alignment horizontal="center" vertical="center"/>
    </xf>
    <xf numFmtId="2" fontId="15" fillId="0" borderId="26" xfId="0" applyNumberFormat="1" applyFont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2" fontId="15" fillId="0" borderId="7" xfId="0" applyNumberFormat="1" applyFont="1" applyFill="1" applyBorder="1" applyAlignment="1">
      <alignment horizontal="center" vertical="center"/>
    </xf>
    <xf numFmtId="2" fontId="15" fillId="0" borderId="8" xfId="0" applyNumberFormat="1" applyFont="1" applyFill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 wrapText="1"/>
    </xf>
    <xf numFmtId="2" fontId="7" fillId="0" borderId="4" xfId="1" applyNumberFormat="1" applyFont="1" applyBorder="1" applyAlignment="1">
      <alignment horizontal="center" vertical="center"/>
    </xf>
    <xf numFmtId="2" fontId="5" fillId="0" borderId="4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 wrapText="1"/>
    </xf>
    <xf numFmtId="2" fontId="15" fillId="0" borderId="19" xfId="0" applyNumberFormat="1" applyFont="1" applyBorder="1" applyAlignment="1">
      <alignment horizontal="center" vertical="center"/>
    </xf>
    <xf numFmtId="166" fontId="12" fillId="0" borderId="50" xfId="0" applyNumberFormat="1" applyFont="1" applyBorder="1" applyAlignment="1">
      <alignment horizontal="center"/>
    </xf>
    <xf numFmtId="166" fontId="12" fillId="0" borderId="39" xfId="0" applyNumberFormat="1" applyFont="1" applyBorder="1" applyAlignment="1">
      <alignment horizontal="center"/>
    </xf>
    <xf numFmtId="0" fontId="11" fillId="4" borderId="52" xfId="0" applyNumberFormat="1" applyFont="1" applyFill="1" applyBorder="1" applyAlignment="1">
      <alignment horizontal="center" vertical="center"/>
    </xf>
    <xf numFmtId="0" fontId="11" fillId="4" borderId="41" xfId="0" applyNumberFormat="1" applyFont="1" applyFill="1" applyBorder="1" applyAlignment="1">
      <alignment horizontal="center" vertical="center"/>
    </xf>
    <xf numFmtId="0" fontId="11" fillId="4" borderId="51" xfId="0" applyNumberFormat="1" applyFont="1" applyFill="1" applyBorder="1" applyAlignment="1">
      <alignment horizontal="center" vertical="center"/>
    </xf>
    <xf numFmtId="0" fontId="23" fillId="7" borderId="3" xfId="0" applyNumberFormat="1" applyFont="1" applyFill="1" applyBorder="1" applyAlignment="1">
      <alignment horizontal="center" vertical="center"/>
    </xf>
    <xf numFmtId="0" fontId="23" fillId="7" borderId="5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right"/>
    </xf>
    <xf numFmtId="0" fontId="11" fillId="2" borderId="11" xfId="0" applyFont="1" applyFill="1" applyBorder="1" applyAlignment="1">
      <alignment horizontal="right"/>
    </xf>
    <xf numFmtId="0" fontId="10" fillId="2" borderId="16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4" borderId="42" xfId="0" applyNumberFormat="1" applyFont="1" applyFill="1" applyBorder="1" applyAlignment="1">
      <alignment horizontal="center" vertical="center"/>
    </xf>
    <xf numFmtId="0" fontId="11" fillId="4" borderId="18" xfId="0" applyNumberFormat="1" applyFont="1" applyFill="1" applyBorder="1" applyAlignment="1">
      <alignment horizontal="center" vertical="center"/>
    </xf>
    <xf numFmtId="0" fontId="11" fillId="4" borderId="55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/>
    </xf>
    <xf numFmtId="166" fontId="11" fillId="4" borderId="56" xfId="0" applyNumberFormat="1" applyFont="1" applyFill="1" applyBorder="1" applyAlignment="1">
      <alignment horizontal="center" vertical="center" wrapText="1"/>
    </xf>
    <xf numFmtId="166" fontId="11" fillId="4" borderId="26" xfId="0" applyNumberFormat="1" applyFont="1" applyFill="1" applyBorder="1" applyAlignment="1">
      <alignment horizontal="center" vertical="center" wrapText="1"/>
    </xf>
    <xf numFmtId="165" fontId="11" fillId="4" borderId="40" xfId="1" applyFont="1" applyFill="1" applyBorder="1" applyAlignment="1">
      <alignment horizontal="center" vertical="center" wrapText="1"/>
    </xf>
    <xf numFmtId="165" fontId="11" fillId="4" borderId="20" xfId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166" fontId="8" fillId="0" borderId="2" xfId="0" applyNumberFormat="1" applyFont="1" applyBorder="1" applyAlignment="1" applyProtection="1">
      <alignment horizontal="right" vertical="center"/>
      <protection locked="0"/>
    </xf>
    <xf numFmtId="166" fontId="8" fillId="0" borderId="22" xfId="0" applyNumberFormat="1" applyFont="1" applyBorder="1" applyAlignment="1" applyProtection="1">
      <alignment horizontal="right" vertical="center"/>
      <protection locked="0"/>
    </xf>
    <xf numFmtId="166" fontId="8" fillId="0" borderId="19" xfId="0" applyNumberFormat="1" applyFont="1" applyBorder="1" applyAlignment="1" applyProtection="1">
      <alignment horizontal="right" vertical="center" wrapText="1"/>
      <protection locked="0"/>
    </xf>
    <xf numFmtId="166" fontId="8" fillId="0" borderId="19" xfId="0" applyNumberFormat="1" applyFont="1" applyFill="1" applyBorder="1" applyAlignment="1" applyProtection="1">
      <alignment horizontal="right" vertical="center" wrapText="1"/>
      <protection locked="0"/>
    </xf>
    <xf numFmtId="166" fontId="8" fillId="0" borderId="2" xfId="0" applyNumberFormat="1" applyFont="1" applyBorder="1" applyAlignment="1" applyProtection="1">
      <alignment horizontal="right" vertical="center" wrapText="1"/>
      <protection locked="0"/>
    </xf>
    <xf numFmtId="166" fontId="8" fillId="0" borderId="24" xfId="2" applyNumberFormat="1" applyFont="1" applyFill="1" applyBorder="1" applyAlignment="1" applyProtection="1">
      <alignment horizontal="right" vertical="center" wrapText="1"/>
      <protection locked="0"/>
    </xf>
    <xf numFmtId="166" fontId="8" fillId="0" borderId="2" xfId="2" applyNumberFormat="1" applyFont="1" applyFill="1" applyBorder="1" applyAlignment="1" applyProtection="1">
      <alignment horizontal="right" vertical="center" wrapText="1"/>
      <protection locked="0"/>
    </xf>
    <xf numFmtId="167" fontId="8" fillId="0" borderId="7" xfId="2" applyNumberFormat="1" applyFont="1" applyBorder="1" applyAlignment="1" applyProtection="1">
      <alignment horizontal="center" vertical="center" wrapText="1"/>
      <protection locked="0"/>
    </xf>
    <xf numFmtId="167" fontId="8" fillId="0" borderId="8" xfId="2" applyNumberFormat="1" applyFont="1" applyBorder="1" applyAlignment="1" applyProtection="1">
      <alignment horizontal="center" vertical="center" wrapText="1"/>
      <protection locked="0"/>
    </xf>
    <xf numFmtId="167" fontId="8" fillId="0" borderId="2" xfId="2" applyNumberFormat="1" applyFont="1" applyBorder="1" applyAlignment="1" applyProtection="1">
      <alignment horizontal="right" vertical="center" wrapText="1"/>
      <protection locked="0"/>
    </xf>
  </cellXfs>
  <cellStyles count="5">
    <cellStyle name="Moeda" xfId="2" builtinId="4"/>
    <cellStyle name="Moeda 2" xf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88106</xdr:colOff>
      <xdr:row>1</xdr:row>
      <xdr:rowOff>147638</xdr:rowOff>
    </xdr:from>
    <xdr:to>
      <xdr:col>4</xdr:col>
      <xdr:colOff>1549400</xdr:colOff>
      <xdr:row>6</xdr:row>
      <xdr:rowOff>24361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206" y="350838"/>
          <a:ext cx="3048794" cy="829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44564</xdr:colOff>
      <xdr:row>1</xdr:row>
      <xdr:rowOff>56029</xdr:rowOff>
    </xdr:from>
    <xdr:to>
      <xdr:col>2</xdr:col>
      <xdr:colOff>2254364</xdr:colOff>
      <xdr:row>6</xdr:row>
      <xdr:rowOff>24394</xdr:rowOff>
    </xdr:to>
    <xdr:pic>
      <xdr:nvPicPr>
        <xdr:cNvPr id="3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29" r="2"/>
        <a:stretch>
          <a:fillRect/>
        </a:stretch>
      </xdr:blipFill>
      <xdr:spPr bwMode="auto">
        <a:xfrm>
          <a:off x="44564" y="56029"/>
          <a:ext cx="2680447" cy="752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96745</xdr:colOff>
      <xdr:row>1</xdr:row>
      <xdr:rowOff>101786</xdr:rowOff>
    </xdr:from>
    <xdr:to>
      <xdr:col>2</xdr:col>
      <xdr:colOff>3175001</xdr:colOff>
      <xdr:row>7</xdr:row>
      <xdr:rowOff>63499</xdr:rowOff>
    </xdr:to>
    <xdr:pic>
      <xdr:nvPicPr>
        <xdr:cNvPr id="3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29" r="2"/>
        <a:stretch>
          <a:fillRect/>
        </a:stretch>
      </xdr:blipFill>
      <xdr:spPr bwMode="auto">
        <a:xfrm>
          <a:off x="769845" y="304986"/>
          <a:ext cx="3522756" cy="1104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K162"/>
  <sheetViews>
    <sheetView showGridLines="0" tabSelected="1" view="pageBreakPreview" zoomScaleSheetLayoutView="78" workbookViewId="0">
      <selection activeCell="H144" sqref="H144:I144"/>
    </sheetView>
  </sheetViews>
  <sheetFormatPr baseColWidth="10" defaultColWidth="8.83203125" defaultRowHeight="15" x14ac:dyDescent="0.2"/>
  <cols>
    <col min="1" max="1" width="8.83203125" style="77"/>
    <col min="2" max="2" width="5.1640625" style="70" customWidth="1"/>
    <col min="3" max="3" width="7.1640625" style="70" customWidth="1"/>
    <col min="4" max="4" width="8.5" style="70" customWidth="1"/>
    <col min="5" max="5" width="77.5" style="71" customWidth="1"/>
    <col min="6" max="6" width="7.33203125" style="70" customWidth="1"/>
    <col min="7" max="7" width="5.83203125" style="70" customWidth="1"/>
    <col min="8" max="8" width="9.33203125" style="51" customWidth="1"/>
    <col min="9" max="9" width="12.1640625" style="51" customWidth="1"/>
    <col min="10" max="10" width="15" style="51" customWidth="1"/>
    <col min="11" max="11" width="16.5" style="51" customWidth="1"/>
    <col min="12" max="16384" width="8.83203125" style="77"/>
  </cols>
  <sheetData>
    <row r="1" spans="2:11" s="7" customFormat="1" ht="16" thickBot="1" x14ac:dyDescent="0.25">
      <c r="B1" s="48"/>
      <c r="C1" s="48"/>
      <c r="D1" s="48"/>
      <c r="E1" s="49"/>
      <c r="F1" s="48"/>
      <c r="G1" s="48"/>
      <c r="H1" s="50"/>
      <c r="I1" s="50"/>
      <c r="J1" s="50"/>
      <c r="K1" s="51"/>
    </row>
    <row r="2" spans="2:11" s="7" customFormat="1" x14ac:dyDescent="0.2">
      <c r="B2" s="301" t="s">
        <v>16</v>
      </c>
      <c r="C2" s="302"/>
      <c r="D2" s="302"/>
      <c r="E2" s="302"/>
      <c r="F2" s="302"/>
      <c r="G2" s="302"/>
      <c r="H2" s="302"/>
      <c r="I2" s="302"/>
      <c r="J2" s="303"/>
      <c r="K2" s="52"/>
    </row>
    <row r="3" spans="2:11" s="7" customFormat="1" x14ac:dyDescent="0.2">
      <c r="B3" s="304" t="s">
        <v>1</v>
      </c>
      <c r="C3" s="305"/>
      <c r="D3" s="305"/>
      <c r="E3" s="305"/>
      <c r="F3" s="305"/>
      <c r="G3" s="305"/>
      <c r="H3" s="305"/>
      <c r="I3" s="305"/>
      <c r="J3" s="306"/>
      <c r="K3" s="52"/>
    </row>
    <row r="4" spans="2:11" s="7" customFormat="1" x14ac:dyDescent="0.2">
      <c r="B4" s="304" t="s">
        <v>17</v>
      </c>
      <c r="C4" s="305"/>
      <c r="D4" s="305"/>
      <c r="E4" s="305"/>
      <c r="F4" s="305"/>
      <c r="G4" s="305"/>
      <c r="H4" s="305"/>
      <c r="I4" s="305"/>
      <c r="J4" s="306"/>
      <c r="K4" s="52"/>
    </row>
    <row r="5" spans="2:11" s="7" customFormat="1" x14ac:dyDescent="0.2">
      <c r="B5" s="304" t="s">
        <v>70</v>
      </c>
      <c r="C5" s="305"/>
      <c r="D5" s="305"/>
      <c r="E5" s="305"/>
      <c r="F5" s="305"/>
      <c r="G5" s="305"/>
      <c r="H5" s="305"/>
      <c r="I5" s="305"/>
      <c r="J5" s="306"/>
      <c r="K5" s="52"/>
    </row>
    <row r="6" spans="2:11" s="7" customFormat="1" ht="15" customHeight="1" x14ac:dyDescent="0.2">
      <c r="B6" s="307" t="s">
        <v>609</v>
      </c>
      <c r="C6" s="308"/>
      <c r="D6" s="308"/>
      <c r="E6" s="308"/>
      <c r="F6" s="308"/>
      <c r="G6" s="308"/>
      <c r="H6" s="308"/>
      <c r="I6" s="308"/>
      <c r="J6" s="309"/>
      <c r="K6" s="52"/>
    </row>
    <row r="7" spans="2:11" s="7" customFormat="1" ht="15" customHeight="1" x14ac:dyDescent="0.2">
      <c r="B7" s="290" t="str">
        <f>Cronograma!B8</f>
        <v>Tabela 128 - Custo Obras Civis - Novembro/2017 - Desonerada</v>
      </c>
      <c r="C7" s="291"/>
      <c r="D7" s="291"/>
      <c r="E7" s="291"/>
      <c r="F7" s="291"/>
      <c r="G7" s="291"/>
      <c r="H7" s="291"/>
      <c r="I7" s="291"/>
      <c r="J7" s="292"/>
      <c r="K7" s="42"/>
    </row>
    <row r="8" spans="2:11" s="7" customFormat="1" ht="16.5" customHeight="1" thickBot="1" x14ac:dyDescent="0.25">
      <c r="B8" s="293" t="s">
        <v>282</v>
      </c>
      <c r="C8" s="294"/>
      <c r="D8" s="294"/>
      <c r="E8" s="294"/>
      <c r="F8" s="294"/>
      <c r="G8" s="294"/>
      <c r="H8" s="294"/>
      <c r="I8" s="294"/>
      <c r="J8" s="295"/>
      <c r="K8" s="42"/>
    </row>
    <row r="9" spans="2:11" s="7" customFormat="1" ht="16" thickBot="1" x14ac:dyDescent="0.25">
      <c r="B9" s="296" t="s">
        <v>593</v>
      </c>
      <c r="C9" s="297"/>
      <c r="D9" s="297"/>
      <c r="E9" s="297"/>
      <c r="F9" s="297"/>
      <c r="G9" s="297"/>
      <c r="H9" s="297"/>
      <c r="I9" s="297"/>
      <c r="J9" s="298"/>
      <c r="K9" s="42"/>
    </row>
    <row r="10" spans="2:11" s="7" customFormat="1" ht="16" thickBot="1" x14ac:dyDescent="0.25">
      <c r="B10" s="10" t="s">
        <v>3</v>
      </c>
      <c r="C10" s="299" t="s">
        <v>18</v>
      </c>
      <c r="D10" s="300"/>
      <c r="E10" s="26" t="s">
        <v>4</v>
      </c>
      <c r="F10" s="30" t="s">
        <v>19</v>
      </c>
      <c r="G10" s="11" t="s">
        <v>20</v>
      </c>
      <c r="H10" s="24" t="s">
        <v>21</v>
      </c>
      <c r="I10" s="24" t="s">
        <v>22</v>
      </c>
      <c r="J10" s="47" t="s">
        <v>10</v>
      </c>
      <c r="K10" s="43"/>
    </row>
    <row r="11" spans="2:11" s="7" customFormat="1" ht="16" customHeight="1" thickBot="1" x14ac:dyDescent="0.25">
      <c r="B11" s="281" t="s">
        <v>7</v>
      </c>
      <c r="C11" s="282"/>
      <c r="D11" s="282"/>
      <c r="E11" s="282"/>
      <c r="F11" s="282"/>
      <c r="G11" s="282"/>
      <c r="H11" s="282"/>
      <c r="I11" s="282"/>
      <c r="J11" s="283"/>
      <c r="K11" s="42"/>
    </row>
    <row r="12" spans="2:11" s="7" customFormat="1" ht="15" customHeight="1" x14ac:dyDescent="0.2">
      <c r="B12" s="53" t="s">
        <v>77</v>
      </c>
      <c r="C12" s="54" t="s">
        <v>27</v>
      </c>
      <c r="D12" s="29">
        <v>20101</v>
      </c>
      <c r="E12" s="55" t="s">
        <v>71</v>
      </c>
      <c r="F12" s="56">
        <f>'Memória de cálculo'!H15</f>
        <v>13.2325</v>
      </c>
      <c r="G12" s="29" t="s">
        <v>8</v>
      </c>
      <c r="H12" s="451"/>
      <c r="I12" s="451"/>
      <c r="J12" s="452">
        <f>I12+H12</f>
        <v>0</v>
      </c>
      <c r="K12" s="51"/>
    </row>
    <row r="13" spans="2:11" s="7" customFormat="1" ht="15" customHeight="1" x14ac:dyDescent="0.2">
      <c r="B13" s="53" t="s">
        <v>78</v>
      </c>
      <c r="C13" s="54" t="s">
        <v>27</v>
      </c>
      <c r="D13" s="29">
        <v>20103</v>
      </c>
      <c r="E13" s="55" t="s">
        <v>598</v>
      </c>
      <c r="F13" s="56">
        <f>'Memória de cálculo'!H19</f>
        <v>13.2325</v>
      </c>
      <c r="G13" s="29" t="s">
        <v>24</v>
      </c>
      <c r="H13" s="451"/>
      <c r="I13" s="451"/>
      <c r="J13" s="452">
        <f t="shared" ref="J13:J22" si="0">I13+H13</f>
        <v>0</v>
      </c>
      <c r="K13" s="51"/>
    </row>
    <row r="14" spans="2:11" s="7" customFormat="1" ht="15" customHeight="1" x14ac:dyDescent="0.2">
      <c r="B14" s="53" t="s">
        <v>86</v>
      </c>
      <c r="C14" s="54" t="s">
        <v>27</v>
      </c>
      <c r="D14" s="29">
        <v>20106</v>
      </c>
      <c r="E14" s="55" t="s">
        <v>599</v>
      </c>
      <c r="F14" s="56">
        <f>'Memória de cálculo'!H25</f>
        <v>5.9</v>
      </c>
      <c r="G14" s="29" t="s">
        <v>24</v>
      </c>
      <c r="H14" s="451"/>
      <c r="I14" s="451"/>
      <c r="J14" s="452">
        <f t="shared" si="0"/>
        <v>0</v>
      </c>
      <c r="K14" s="51"/>
    </row>
    <row r="15" spans="2:11" s="7" customFormat="1" ht="15" customHeight="1" x14ac:dyDescent="0.2">
      <c r="B15" s="53" t="s">
        <v>87</v>
      </c>
      <c r="C15" s="54" t="s">
        <v>27</v>
      </c>
      <c r="D15" s="29">
        <v>20111</v>
      </c>
      <c r="E15" s="55" t="s">
        <v>679</v>
      </c>
      <c r="F15" s="56">
        <f>'Memória de cálculo'!H28</f>
        <v>1.4400000000000002</v>
      </c>
      <c r="G15" s="29" t="s">
        <v>8</v>
      </c>
      <c r="H15" s="451"/>
      <c r="I15" s="451"/>
      <c r="J15" s="452">
        <f t="shared" si="0"/>
        <v>0</v>
      </c>
      <c r="K15" s="51"/>
    </row>
    <row r="16" spans="2:11" s="7" customFormat="1" ht="15" customHeight="1" x14ac:dyDescent="0.2">
      <c r="B16" s="53" t="s">
        <v>130</v>
      </c>
      <c r="C16" s="54" t="s">
        <v>27</v>
      </c>
      <c r="D16" s="29">
        <v>20118</v>
      </c>
      <c r="E16" s="55" t="s">
        <v>82</v>
      </c>
      <c r="F16" s="56">
        <f>'Memória de cálculo'!H43</f>
        <v>76.524999999999991</v>
      </c>
      <c r="G16" s="29" t="s">
        <v>83</v>
      </c>
      <c r="H16" s="451"/>
      <c r="I16" s="451"/>
      <c r="J16" s="452">
        <f t="shared" si="0"/>
        <v>0</v>
      </c>
      <c r="K16" s="51"/>
    </row>
    <row r="17" spans="2:11" s="7" customFormat="1" ht="15" customHeight="1" x14ac:dyDescent="0.2">
      <c r="B17" s="53" t="s">
        <v>131</v>
      </c>
      <c r="C17" s="54" t="s">
        <v>27</v>
      </c>
      <c r="D17" s="29">
        <v>20121</v>
      </c>
      <c r="E17" s="55" t="s">
        <v>88</v>
      </c>
      <c r="F17" s="56">
        <f>'Memória de cálculo'!H46</f>
        <v>52.416000000000004</v>
      </c>
      <c r="G17" s="29" t="s">
        <v>83</v>
      </c>
      <c r="H17" s="451"/>
      <c r="I17" s="451"/>
      <c r="J17" s="452">
        <f t="shared" si="0"/>
        <v>0</v>
      </c>
      <c r="K17" s="51"/>
    </row>
    <row r="18" spans="2:11" s="7" customFormat="1" ht="15" customHeight="1" x14ac:dyDescent="0.2">
      <c r="B18" s="53" t="s">
        <v>132</v>
      </c>
      <c r="C18" s="54" t="s">
        <v>27</v>
      </c>
      <c r="D18" s="29">
        <v>20143</v>
      </c>
      <c r="E18" s="55" t="s">
        <v>97</v>
      </c>
      <c r="F18" s="56">
        <f>'Memória de cálculo'!H49</f>
        <v>4.9000000000000004</v>
      </c>
      <c r="G18" s="29" t="s">
        <v>98</v>
      </c>
      <c r="H18" s="451"/>
      <c r="I18" s="451"/>
      <c r="J18" s="452">
        <f t="shared" si="0"/>
        <v>0</v>
      </c>
      <c r="K18" s="51"/>
    </row>
    <row r="19" spans="2:11" s="7" customFormat="1" ht="15" customHeight="1" x14ac:dyDescent="0.2">
      <c r="B19" s="53" t="s">
        <v>133</v>
      </c>
      <c r="C19" s="54" t="s">
        <v>27</v>
      </c>
      <c r="D19" s="29">
        <v>20145</v>
      </c>
      <c r="E19" s="55" t="s">
        <v>90</v>
      </c>
      <c r="F19" s="78">
        <f>'Memória de cálculo'!H52</f>
        <v>1</v>
      </c>
      <c r="G19" s="29" t="s">
        <v>264</v>
      </c>
      <c r="H19" s="451"/>
      <c r="I19" s="451"/>
      <c r="J19" s="452">
        <f t="shared" si="0"/>
        <v>0</v>
      </c>
      <c r="K19" s="51"/>
    </row>
    <row r="20" spans="2:11" s="7" customFormat="1" ht="15" customHeight="1" x14ac:dyDescent="0.2">
      <c r="B20" s="53" t="s">
        <v>134</v>
      </c>
      <c r="C20" s="54" t="s">
        <v>27</v>
      </c>
      <c r="D20" s="29">
        <v>20146</v>
      </c>
      <c r="E20" s="55" t="s">
        <v>91</v>
      </c>
      <c r="F20" s="78">
        <f>'Memória de cálculo'!H55</f>
        <v>2</v>
      </c>
      <c r="G20" s="29" t="s">
        <v>264</v>
      </c>
      <c r="H20" s="451"/>
      <c r="I20" s="451"/>
      <c r="J20" s="452">
        <f t="shared" si="0"/>
        <v>0</v>
      </c>
      <c r="K20" s="51"/>
    </row>
    <row r="21" spans="2:11" s="7" customFormat="1" ht="15" customHeight="1" x14ac:dyDescent="0.2">
      <c r="B21" s="53" t="s">
        <v>135</v>
      </c>
      <c r="C21" s="54" t="s">
        <v>27</v>
      </c>
      <c r="D21" s="29">
        <v>20147</v>
      </c>
      <c r="E21" s="57" t="s">
        <v>95</v>
      </c>
      <c r="F21" s="56">
        <f>'Memória de cálculo'!H59</f>
        <v>13.2325</v>
      </c>
      <c r="G21" s="29" t="s">
        <v>24</v>
      </c>
      <c r="H21" s="451"/>
      <c r="I21" s="451"/>
      <c r="J21" s="452">
        <f t="shared" si="0"/>
        <v>0</v>
      </c>
      <c r="K21" s="51"/>
    </row>
    <row r="22" spans="2:11" s="7" customFormat="1" ht="30" customHeight="1" x14ac:dyDescent="0.2">
      <c r="B22" s="53" t="s">
        <v>678</v>
      </c>
      <c r="C22" s="54" t="s">
        <v>27</v>
      </c>
      <c r="D22" s="29">
        <v>21301</v>
      </c>
      <c r="E22" s="57" t="s">
        <v>96</v>
      </c>
      <c r="F22" s="56">
        <f>'Memória de cálculo'!H62</f>
        <v>3</v>
      </c>
      <c r="G22" s="29" t="s">
        <v>24</v>
      </c>
      <c r="H22" s="451"/>
      <c r="I22" s="451"/>
      <c r="J22" s="452">
        <f t="shared" si="0"/>
        <v>0</v>
      </c>
      <c r="K22" s="51"/>
    </row>
    <row r="23" spans="2:11" s="7" customFormat="1" ht="17" thickBot="1" x14ac:dyDescent="0.25">
      <c r="B23" s="260" t="s">
        <v>594</v>
      </c>
      <c r="C23" s="261"/>
      <c r="D23" s="261"/>
      <c r="E23" s="261"/>
      <c r="F23" s="261"/>
      <c r="G23" s="261"/>
      <c r="H23" s="261"/>
      <c r="I23" s="262"/>
      <c r="J23" s="74">
        <f>SUM(J12:J22)</f>
        <v>0</v>
      </c>
      <c r="K23" s="41">
        <f>J23+(J23*I153)</f>
        <v>0</v>
      </c>
    </row>
    <row r="24" spans="2:11" s="7" customFormat="1" ht="16" customHeight="1" thickBot="1" x14ac:dyDescent="0.25">
      <c r="B24" s="281" t="s">
        <v>11</v>
      </c>
      <c r="C24" s="282"/>
      <c r="D24" s="282"/>
      <c r="E24" s="282"/>
      <c r="F24" s="282"/>
      <c r="G24" s="282"/>
      <c r="H24" s="282"/>
      <c r="I24" s="282"/>
      <c r="J24" s="283"/>
      <c r="K24" s="42"/>
    </row>
    <row r="25" spans="2:11" s="7" customFormat="1" ht="15" customHeight="1" x14ac:dyDescent="0.2">
      <c r="B25" s="16" t="s">
        <v>12</v>
      </c>
      <c r="C25" s="9" t="s">
        <v>27</v>
      </c>
      <c r="D25" s="54">
        <v>30105</v>
      </c>
      <c r="E25" s="58" t="s">
        <v>48</v>
      </c>
      <c r="F25" s="59">
        <f>'Memória de cálculo'!H72</f>
        <v>132.18577500000001</v>
      </c>
      <c r="G25" s="54" t="s">
        <v>49</v>
      </c>
      <c r="H25" s="453"/>
      <c r="I25" s="453"/>
      <c r="J25" s="452">
        <f t="shared" ref="J25" si="1">I25+H25</f>
        <v>0</v>
      </c>
      <c r="K25" s="44"/>
    </row>
    <row r="26" spans="2:11" s="7" customFormat="1" ht="17" thickBot="1" x14ac:dyDescent="0.25">
      <c r="B26" s="260" t="s">
        <v>594</v>
      </c>
      <c r="C26" s="261"/>
      <c r="D26" s="261"/>
      <c r="E26" s="261"/>
      <c r="F26" s="261"/>
      <c r="G26" s="261"/>
      <c r="H26" s="261"/>
      <c r="I26" s="262"/>
      <c r="J26" s="74">
        <f>SUM(J25)</f>
        <v>0</v>
      </c>
      <c r="K26" s="43">
        <f>J26+(J26*I153)</f>
        <v>0</v>
      </c>
    </row>
    <row r="27" spans="2:11" s="7" customFormat="1" ht="16" customHeight="1" thickBot="1" x14ac:dyDescent="0.25">
      <c r="B27" s="278" t="s">
        <v>68</v>
      </c>
      <c r="C27" s="279"/>
      <c r="D27" s="279"/>
      <c r="E27" s="279"/>
      <c r="F27" s="279"/>
      <c r="G27" s="279"/>
      <c r="H27" s="279"/>
      <c r="I27" s="279"/>
      <c r="J27" s="280"/>
      <c r="K27" s="42"/>
    </row>
    <row r="28" spans="2:11" s="7" customFormat="1" ht="15" customHeight="1" x14ac:dyDescent="0.2">
      <c r="B28" s="60" t="s">
        <v>43</v>
      </c>
      <c r="C28" s="54" t="s">
        <v>27</v>
      </c>
      <c r="D28" s="61">
        <v>60010</v>
      </c>
      <c r="E28" s="62" t="s">
        <v>273</v>
      </c>
      <c r="F28" s="63">
        <f>'Memória de cálculo'!H78</f>
        <v>3.9E-2</v>
      </c>
      <c r="G28" s="61" t="s">
        <v>83</v>
      </c>
      <c r="H28" s="454"/>
      <c r="I28" s="454"/>
      <c r="J28" s="452">
        <f t="shared" ref="J28:J33" si="2">I28+H28</f>
        <v>0</v>
      </c>
      <c r="K28" s="43"/>
    </row>
    <row r="29" spans="2:11" s="7" customFormat="1" ht="15" customHeight="1" x14ac:dyDescent="0.2">
      <c r="B29" s="60" t="s">
        <v>44</v>
      </c>
      <c r="C29" s="54" t="s">
        <v>27</v>
      </c>
      <c r="D29" s="54">
        <v>60104</v>
      </c>
      <c r="E29" s="58" t="s">
        <v>69</v>
      </c>
      <c r="F29" s="59">
        <f>'Memória de cálculo'!H81</f>
        <v>50</v>
      </c>
      <c r="G29" s="54" t="s">
        <v>61</v>
      </c>
      <c r="H29" s="453"/>
      <c r="I29" s="453"/>
      <c r="J29" s="452">
        <f t="shared" si="2"/>
        <v>0</v>
      </c>
      <c r="K29" s="44"/>
    </row>
    <row r="30" spans="2:11" s="7" customFormat="1" ht="15" customHeight="1" x14ac:dyDescent="0.2">
      <c r="B30" s="60" t="s">
        <v>45</v>
      </c>
      <c r="C30" s="54" t="s">
        <v>27</v>
      </c>
      <c r="D30" s="54">
        <v>60303</v>
      </c>
      <c r="E30" s="58" t="s">
        <v>277</v>
      </c>
      <c r="F30" s="79">
        <f>'Memória de cálculo'!H84</f>
        <v>19.84</v>
      </c>
      <c r="G30" s="54" t="s">
        <v>275</v>
      </c>
      <c r="H30" s="453"/>
      <c r="I30" s="453"/>
      <c r="J30" s="452">
        <f t="shared" si="2"/>
        <v>0</v>
      </c>
      <c r="K30" s="44"/>
    </row>
    <row r="31" spans="2:11" s="7" customFormat="1" ht="15" customHeight="1" x14ac:dyDescent="0.2">
      <c r="B31" s="60" t="s">
        <v>271</v>
      </c>
      <c r="C31" s="54" t="s">
        <v>27</v>
      </c>
      <c r="D31" s="13">
        <v>60305</v>
      </c>
      <c r="E31" s="14" t="s">
        <v>276</v>
      </c>
      <c r="F31" s="80">
        <f>'Memória de cálculo'!H87</f>
        <v>411.84</v>
      </c>
      <c r="G31" s="13" t="s">
        <v>275</v>
      </c>
      <c r="H31" s="455"/>
      <c r="I31" s="455"/>
      <c r="J31" s="452">
        <f t="shared" si="2"/>
        <v>0</v>
      </c>
      <c r="K31" s="44"/>
    </row>
    <row r="32" spans="2:11" s="7" customFormat="1" ht="15" customHeight="1" x14ac:dyDescent="0.2">
      <c r="B32" s="60" t="s">
        <v>272</v>
      </c>
      <c r="C32" s="54" t="s">
        <v>27</v>
      </c>
      <c r="D32" s="13">
        <v>60505</v>
      </c>
      <c r="E32" s="14" t="s">
        <v>652</v>
      </c>
      <c r="F32" s="12">
        <f>'Memória de cálculo'!H90</f>
        <v>0.40499999999999997</v>
      </c>
      <c r="G32" s="13" t="s">
        <v>49</v>
      </c>
      <c r="H32" s="455"/>
      <c r="I32" s="455"/>
      <c r="J32" s="452">
        <f t="shared" si="2"/>
        <v>0</v>
      </c>
      <c r="K32" s="44"/>
    </row>
    <row r="33" spans="2:11" s="7" customFormat="1" ht="15" customHeight="1" x14ac:dyDescent="0.2">
      <c r="B33" s="60" t="s">
        <v>651</v>
      </c>
      <c r="C33" s="54" t="s">
        <v>27</v>
      </c>
      <c r="D33" s="13">
        <v>61101</v>
      </c>
      <c r="E33" s="14" t="s">
        <v>597</v>
      </c>
      <c r="F33" s="12">
        <f>'Memória de cálculo'!H93</f>
        <v>8.4525000000000006</v>
      </c>
      <c r="G33" s="13" t="s">
        <v>24</v>
      </c>
      <c r="H33" s="455"/>
      <c r="I33" s="455"/>
      <c r="J33" s="452">
        <f t="shared" si="2"/>
        <v>0</v>
      </c>
      <c r="K33" s="44"/>
    </row>
    <row r="34" spans="2:11" s="7" customFormat="1" ht="17" thickBot="1" x14ac:dyDescent="0.25">
      <c r="B34" s="260" t="s">
        <v>594</v>
      </c>
      <c r="C34" s="261"/>
      <c r="D34" s="261"/>
      <c r="E34" s="261"/>
      <c r="F34" s="261"/>
      <c r="G34" s="261"/>
      <c r="H34" s="261"/>
      <c r="I34" s="262"/>
      <c r="J34" s="74">
        <f>SUM(J28:J33)</f>
        <v>0</v>
      </c>
      <c r="K34" s="43">
        <f>J34+(J34*I153)</f>
        <v>0</v>
      </c>
    </row>
    <row r="35" spans="2:11" s="7" customFormat="1" ht="16" customHeight="1" thickBot="1" x14ac:dyDescent="0.25">
      <c r="B35" s="281" t="s">
        <v>13</v>
      </c>
      <c r="C35" s="282"/>
      <c r="D35" s="282"/>
      <c r="E35" s="282"/>
      <c r="F35" s="282"/>
      <c r="G35" s="282"/>
      <c r="H35" s="282"/>
      <c r="I35" s="282"/>
      <c r="J35" s="283"/>
      <c r="K35" s="42"/>
    </row>
    <row r="36" spans="2:11" s="7" customFormat="1" ht="15" customHeight="1" x14ac:dyDescent="0.2">
      <c r="B36" s="53" t="s">
        <v>36</v>
      </c>
      <c r="C36" s="29" t="s">
        <v>27</v>
      </c>
      <c r="D36" s="29">
        <v>71527</v>
      </c>
      <c r="E36" s="55" t="s">
        <v>104</v>
      </c>
      <c r="F36" s="78">
        <f>'Memória de cálculo'!H97</f>
        <v>10</v>
      </c>
      <c r="G36" s="29" t="s">
        <v>264</v>
      </c>
      <c r="H36" s="451"/>
      <c r="I36" s="451"/>
      <c r="J36" s="452">
        <f t="shared" ref="J36:J43" si="3">I36+H36</f>
        <v>0</v>
      </c>
      <c r="K36" s="289"/>
    </row>
    <row r="37" spans="2:11" s="7" customFormat="1" ht="15" customHeight="1" x14ac:dyDescent="0.2">
      <c r="B37" s="53" t="s">
        <v>37</v>
      </c>
      <c r="C37" s="29" t="s">
        <v>27</v>
      </c>
      <c r="D37" s="29">
        <v>71565</v>
      </c>
      <c r="E37" s="57" t="s">
        <v>106</v>
      </c>
      <c r="F37" s="78">
        <f>'Memória de cálculo'!H107</f>
        <v>8</v>
      </c>
      <c r="G37" s="29" t="s">
        <v>264</v>
      </c>
      <c r="H37" s="451"/>
      <c r="I37" s="451"/>
      <c r="J37" s="452">
        <f t="shared" si="3"/>
        <v>0</v>
      </c>
      <c r="K37" s="289"/>
    </row>
    <row r="38" spans="2:11" s="7" customFormat="1" ht="15" customHeight="1" x14ac:dyDescent="0.2">
      <c r="B38" s="53" t="s">
        <v>51</v>
      </c>
      <c r="C38" s="29" t="s">
        <v>27</v>
      </c>
      <c r="D38" s="29">
        <v>71688</v>
      </c>
      <c r="E38" s="55" t="s">
        <v>596</v>
      </c>
      <c r="F38" s="78">
        <f>'Memória de cálculo'!H117</f>
        <v>8</v>
      </c>
      <c r="G38" s="29" t="s">
        <v>264</v>
      </c>
      <c r="H38" s="451"/>
      <c r="I38" s="451"/>
      <c r="J38" s="452">
        <f t="shared" si="3"/>
        <v>0</v>
      </c>
      <c r="K38" s="289"/>
    </row>
    <row r="39" spans="2:11" s="7" customFormat="1" ht="15" customHeight="1" x14ac:dyDescent="0.2">
      <c r="B39" s="53" t="s">
        <v>52</v>
      </c>
      <c r="C39" s="29" t="s">
        <v>27</v>
      </c>
      <c r="D39" s="29">
        <v>71193</v>
      </c>
      <c r="E39" s="55" t="s">
        <v>595</v>
      </c>
      <c r="F39" s="56">
        <f>'Memória de cálculo'!H120</f>
        <v>25</v>
      </c>
      <c r="G39" s="54" t="s">
        <v>61</v>
      </c>
      <c r="H39" s="451"/>
      <c r="I39" s="451"/>
      <c r="J39" s="452">
        <f t="shared" si="3"/>
        <v>0</v>
      </c>
      <c r="K39" s="289"/>
    </row>
    <row r="40" spans="2:11" s="7" customFormat="1" ht="15" customHeight="1" x14ac:dyDescent="0.2">
      <c r="B40" s="53" t="s">
        <v>53</v>
      </c>
      <c r="C40" s="29" t="s">
        <v>27</v>
      </c>
      <c r="D40" s="29">
        <v>71290</v>
      </c>
      <c r="E40" s="55" t="s">
        <v>265</v>
      </c>
      <c r="F40" s="56">
        <f>'Memória de cálculo'!H123</f>
        <v>80</v>
      </c>
      <c r="G40" s="54" t="s">
        <v>61</v>
      </c>
      <c r="H40" s="451"/>
      <c r="I40" s="451"/>
      <c r="J40" s="452">
        <f t="shared" si="3"/>
        <v>0</v>
      </c>
      <c r="K40" s="289"/>
    </row>
    <row r="41" spans="2:11" s="7" customFormat="1" ht="15" customHeight="1" x14ac:dyDescent="0.2">
      <c r="B41" s="53" t="s">
        <v>54</v>
      </c>
      <c r="C41" s="29" t="s">
        <v>27</v>
      </c>
      <c r="D41" s="29">
        <v>71440</v>
      </c>
      <c r="E41" s="55" t="s">
        <v>266</v>
      </c>
      <c r="F41" s="78">
        <f>'Memória de cálculo'!H128</f>
        <v>3</v>
      </c>
      <c r="G41" s="29" t="s">
        <v>264</v>
      </c>
      <c r="H41" s="451"/>
      <c r="I41" s="451"/>
      <c r="J41" s="452">
        <f t="shared" si="3"/>
        <v>0</v>
      </c>
      <c r="K41" s="289"/>
    </row>
    <row r="42" spans="2:11" s="7" customFormat="1" ht="15" customHeight="1" x14ac:dyDescent="0.2">
      <c r="B42" s="53" t="s">
        <v>55</v>
      </c>
      <c r="C42" s="29" t="s">
        <v>27</v>
      </c>
      <c r="D42" s="29">
        <v>72578</v>
      </c>
      <c r="E42" s="55" t="s">
        <v>600</v>
      </c>
      <c r="F42" s="78">
        <f>'Memória de cálculo'!H131</f>
        <v>2</v>
      </c>
      <c r="G42" s="29" t="s">
        <v>264</v>
      </c>
      <c r="H42" s="451"/>
      <c r="I42" s="451"/>
      <c r="J42" s="452">
        <f t="shared" si="3"/>
        <v>0</v>
      </c>
      <c r="K42" s="289"/>
    </row>
    <row r="43" spans="2:11" s="7" customFormat="1" ht="15" customHeight="1" x14ac:dyDescent="0.2">
      <c r="B43" s="53" t="s">
        <v>56</v>
      </c>
      <c r="C43" s="29" t="s">
        <v>27</v>
      </c>
      <c r="D43" s="29">
        <v>72591</v>
      </c>
      <c r="E43" s="55" t="s">
        <v>269</v>
      </c>
      <c r="F43" s="78">
        <f>'Memória de cálculo'!H134</f>
        <v>1</v>
      </c>
      <c r="G43" s="29" t="s">
        <v>264</v>
      </c>
      <c r="H43" s="451"/>
      <c r="I43" s="451"/>
      <c r="J43" s="452">
        <f t="shared" si="3"/>
        <v>0</v>
      </c>
      <c r="K43" s="289"/>
    </row>
    <row r="44" spans="2:11" s="7" customFormat="1" ht="17" thickBot="1" x14ac:dyDescent="0.25">
      <c r="B44" s="266" t="s">
        <v>594</v>
      </c>
      <c r="C44" s="267"/>
      <c r="D44" s="267"/>
      <c r="E44" s="267"/>
      <c r="F44" s="267"/>
      <c r="G44" s="267"/>
      <c r="H44" s="267"/>
      <c r="I44" s="268"/>
      <c r="J44" s="74">
        <f>SUM(J36:J43)</f>
        <v>0</v>
      </c>
      <c r="K44" s="43">
        <f>J44+(J44*I153)</f>
        <v>0</v>
      </c>
    </row>
    <row r="45" spans="2:11" s="7" customFormat="1" ht="16" customHeight="1" thickBot="1" x14ac:dyDescent="0.25">
      <c r="B45" s="281" t="s">
        <v>50</v>
      </c>
      <c r="C45" s="282"/>
      <c r="D45" s="282"/>
      <c r="E45" s="282"/>
      <c r="F45" s="282"/>
      <c r="G45" s="282"/>
      <c r="H45" s="282"/>
      <c r="I45" s="282"/>
      <c r="J45" s="283"/>
      <c r="K45" s="42"/>
    </row>
    <row r="46" spans="2:11" s="7" customFormat="1" ht="15" customHeight="1" x14ac:dyDescent="0.2">
      <c r="B46" s="16" t="s">
        <v>42</v>
      </c>
      <c r="C46" s="29" t="s">
        <v>27</v>
      </c>
      <c r="D46" s="13">
        <v>80502</v>
      </c>
      <c r="E46" s="14" t="s">
        <v>658</v>
      </c>
      <c r="F46" s="80">
        <f>'Memória de cálculo'!H140</f>
        <v>3</v>
      </c>
      <c r="G46" s="29" t="s">
        <v>264</v>
      </c>
      <c r="H46" s="455"/>
      <c r="I46" s="455"/>
      <c r="J46" s="452">
        <f t="shared" ref="J46:J79" si="4">I46+H46</f>
        <v>0</v>
      </c>
      <c r="K46" s="269"/>
    </row>
    <row r="47" spans="2:11" s="7" customFormat="1" ht="15" customHeight="1" x14ac:dyDescent="0.2">
      <c r="B47" s="16" t="s">
        <v>283</v>
      </c>
      <c r="C47" s="29" t="s">
        <v>27</v>
      </c>
      <c r="D47" s="13">
        <v>80510</v>
      </c>
      <c r="E47" s="14" t="s">
        <v>659</v>
      </c>
      <c r="F47" s="80">
        <f>'Memória de cálculo'!H145</f>
        <v>3</v>
      </c>
      <c r="G47" s="29" t="s">
        <v>264</v>
      </c>
      <c r="H47" s="455"/>
      <c r="I47" s="455"/>
      <c r="J47" s="452">
        <f t="shared" si="4"/>
        <v>0</v>
      </c>
      <c r="K47" s="269"/>
    </row>
    <row r="48" spans="2:11" s="7" customFormat="1" ht="28" x14ac:dyDescent="0.2">
      <c r="B48" s="16" t="s">
        <v>284</v>
      </c>
      <c r="C48" s="29" t="s">
        <v>27</v>
      </c>
      <c r="D48" s="13">
        <v>80518</v>
      </c>
      <c r="E48" s="14" t="s">
        <v>663</v>
      </c>
      <c r="F48" s="80">
        <f>'Memória de cálculo'!H150</f>
        <v>3</v>
      </c>
      <c r="G48" s="29" t="s">
        <v>264</v>
      </c>
      <c r="H48" s="455"/>
      <c r="I48" s="455"/>
      <c r="J48" s="452">
        <f t="shared" si="4"/>
        <v>0</v>
      </c>
      <c r="K48" s="269"/>
    </row>
    <row r="49" spans="2:11" s="7" customFormat="1" ht="15" customHeight="1" x14ac:dyDescent="0.2">
      <c r="B49" s="16" t="s">
        <v>285</v>
      </c>
      <c r="C49" s="29" t="s">
        <v>27</v>
      </c>
      <c r="D49" s="13">
        <v>80520</v>
      </c>
      <c r="E49" s="14" t="s">
        <v>660</v>
      </c>
      <c r="F49" s="80">
        <f>'Memória de cálculo'!H155</f>
        <v>3</v>
      </c>
      <c r="G49" s="29" t="s">
        <v>728</v>
      </c>
      <c r="H49" s="455"/>
      <c r="I49" s="455"/>
      <c r="J49" s="452">
        <f t="shared" si="4"/>
        <v>0</v>
      </c>
      <c r="K49" s="269"/>
    </row>
    <row r="50" spans="2:11" s="7" customFormat="1" ht="15" customHeight="1" x14ac:dyDescent="0.2">
      <c r="B50" s="16" t="s">
        <v>286</v>
      </c>
      <c r="C50" s="29" t="s">
        <v>27</v>
      </c>
      <c r="D50" s="13">
        <v>80526</v>
      </c>
      <c r="E50" s="14" t="s">
        <v>121</v>
      </c>
      <c r="F50" s="80">
        <f>'Memória de cálculo'!H162</f>
        <v>7</v>
      </c>
      <c r="G50" s="29" t="s">
        <v>264</v>
      </c>
      <c r="H50" s="455"/>
      <c r="I50" s="455"/>
      <c r="J50" s="452">
        <f t="shared" si="4"/>
        <v>0</v>
      </c>
      <c r="K50" s="269"/>
    </row>
    <row r="51" spans="2:11" s="7" customFormat="1" ht="15" customHeight="1" x14ac:dyDescent="0.2">
      <c r="B51" s="16" t="s">
        <v>287</v>
      </c>
      <c r="C51" s="29" t="s">
        <v>27</v>
      </c>
      <c r="D51" s="13">
        <v>80532</v>
      </c>
      <c r="E51" s="14" t="s">
        <v>124</v>
      </c>
      <c r="F51" s="80">
        <f>'Memória de cálculo'!H169</f>
        <v>7</v>
      </c>
      <c r="G51" s="29" t="s">
        <v>264</v>
      </c>
      <c r="H51" s="455"/>
      <c r="I51" s="455"/>
      <c r="J51" s="452">
        <f t="shared" si="4"/>
        <v>0</v>
      </c>
      <c r="K51" s="269"/>
    </row>
    <row r="52" spans="2:11" s="7" customFormat="1" ht="15" customHeight="1" x14ac:dyDescent="0.2">
      <c r="B52" s="16" t="s">
        <v>288</v>
      </c>
      <c r="C52" s="29" t="s">
        <v>27</v>
      </c>
      <c r="D52" s="13">
        <v>80542</v>
      </c>
      <c r="E52" s="14" t="s">
        <v>125</v>
      </c>
      <c r="F52" s="80">
        <f>'Memória de cálculo'!H173</f>
        <v>2</v>
      </c>
      <c r="G52" s="29" t="s">
        <v>264</v>
      </c>
      <c r="H52" s="455"/>
      <c r="I52" s="455"/>
      <c r="J52" s="452">
        <f t="shared" si="4"/>
        <v>0</v>
      </c>
      <c r="K52" s="269"/>
    </row>
    <row r="53" spans="2:11" s="7" customFormat="1" ht="15" customHeight="1" x14ac:dyDescent="0.2">
      <c r="B53" s="16" t="s">
        <v>289</v>
      </c>
      <c r="C53" s="29" t="s">
        <v>27</v>
      </c>
      <c r="D53" s="13">
        <v>80570</v>
      </c>
      <c r="E53" s="14" t="s">
        <v>126</v>
      </c>
      <c r="F53" s="80">
        <f>'Memória de cálculo'!H179</f>
        <v>4</v>
      </c>
      <c r="G53" s="29" t="s">
        <v>264</v>
      </c>
      <c r="H53" s="455"/>
      <c r="I53" s="455"/>
      <c r="J53" s="452">
        <f t="shared" si="4"/>
        <v>0</v>
      </c>
      <c r="K53" s="269"/>
    </row>
    <row r="54" spans="2:11" s="7" customFormat="1" ht="15" customHeight="1" x14ac:dyDescent="0.2">
      <c r="B54" s="16" t="s">
        <v>290</v>
      </c>
      <c r="C54" s="29" t="s">
        <v>27</v>
      </c>
      <c r="D54" s="13">
        <v>80601</v>
      </c>
      <c r="E54" s="14" t="s">
        <v>127</v>
      </c>
      <c r="F54" s="80">
        <f>'Memória de cálculo'!H182</f>
        <v>2</v>
      </c>
      <c r="G54" s="29" t="s">
        <v>264</v>
      </c>
      <c r="H54" s="455"/>
      <c r="I54" s="455"/>
      <c r="J54" s="452">
        <f t="shared" si="4"/>
        <v>0</v>
      </c>
      <c r="K54" s="269"/>
    </row>
    <row r="55" spans="2:11" s="7" customFormat="1" ht="15" customHeight="1" x14ac:dyDescent="0.2">
      <c r="B55" s="16" t="s">
        <v>291</v>
      </c>
      <c r="C55" s="29" t="s">
        <v>27</v>
      </c>
      <c r="D55" s="13">
        <v>80672</v>
      </c>
      <c r="E55" s="14" t="s">
        <v>128</v>
      </c>
      <c r="F55" s="80">
        <f>'Memória de cálculo'!H186</f>
        <v>2</v>
      </c>
      <c r="G55" s="29" t="s">
        <v>264</v>
      </c>
      <c r="H55" s="455"/>
      <c r="I55" s="455"/>
      <c r="J55" s="452">
        <f t="shared" si="4"/>
        <v>0</v>
      </c>
      <c r="K55" s="269"/>
    </row>
    <row r="56" spans="2:11" s="7" customFormat="1" ht="15" customHeight="1" x14ac:dyDescent="0.2">
      <c r="B56" s="16" t="s">
        <v>292</v>
      </c>
      <c r="C56" s="29" t="s">
        <v>27</v>
      </c>
      <c r="D56" s="13">
        <v>80656</v>
      </c>
      <c r="E56" s="14" t="s">
        <v>129</v>
      </c>
      <c r="F56" s="80">
        <f>'Memória de cálculo'!H190</f>
        <v>2</v>
      </c>
      <c r="G56" s="29" t="s">
        <v>264</v>
      </c>
      <c r="H56" s="455"/>
      <c r="I56" s="455"/>
      <c r="J56" s="452">
        <f t="shared" si="4"/>
        <v>0</v>
      </c>
      <c r="K56" s="269"/>
    </row>
    <row r="57" spans="2:11" s="7" customFormat="1" ht="15" customHeight="1" x14ac:dyDescent="0.2">
      <c r="B57" s="16" t="s">
        <v>293</v>
      </c>
      <c r="C57" s="29" t="s">
        <v>27</v>
      </c>
      <c r="D57" s="13">
        <v>80901</v>
      </c>
      <c r="E57" s="64" t="s">
        <v>601</v>
      </c>
      <c r="F57" s="80">
        <f>'Memória de cálculo'!H193</f>
        <v>3</v>
      </c>
      <c r="G57" s="29" t="s">
        <v>264</v>
      </c>
      <c r="H57" s="455"/>
      <c r="I57" s="455"/>
      <c r="J57" s="452">
        <f t="shared" si="4"/>
        <v>0</v>
      </c>
      <c r="K57" s="269"/>
    </row>
    <row r="58" spans="2:11" s="7" customFormat="1" ht="15" customHeight="1" x14ac:dyDescent="0.2">
      <c r="B58" s="16" t="s">
        <v>294</v>
      </c>
      <c r="C58" s="29" t="s">
        <v>27</v>
      </c>
      <c r="D58" s="13">
        <v>80975</v>
      </c>
      <c r="E58" s="64" t="s">
        <v>602</v>
      </c>
      <c r="F58" s="80">
        <f>'Memória de cálculo'!H196</f>
        <v>1</v>
      </c>
      <c r="G58" s="29" t="s">
        <v>264</v>
      </c>
      <c r="H58" s="455"/>
      <c r="I58" s="455"/>
      <c r="J58" s="452">
        <f t="shared" si="4"/>
        <v>0</v>
      </c>
      <c r="K58" s="269"/>
    </row>
    <row r="59" spans="2:11" s="7" customFormat="1" ht="15" customHeight="1" x14ac:dyDescent="0.2">
      <c r="B59" s="16" t="s">
        <v>295</v>
      </c>
      <c r="C59" s="29" t="s">
        <v>27</v>
      </c>
      <c r="D59" s="13">
        <v>81003</v>
      </c>
      <c r="E59" s="64" t="s">
        <v>245</v>
      </c>
      <c r="F59" s="12">
        <f>'Memória de cálculo'!H199</f>
        <v>21.959999999999997</v>
      </c>
      <c r="G59" s="13" t="s">
        <v>98</v>
      </c>
      <c r="H59" s="455"/>
      <c r="I59" s="455"/>
      <c r="J59" s="452">
        <f t="shared" si="4"/>
        <v>0</v>
      </c>
      <c r="K59" s="269"/>
    </row>
    <row r="60" spans="2:11" s="7" customFormat="1" ht="15" customHeight="1" x14ac:dyDescent="0.2">
      <c r="B60" s="16" t="s">
        <v>296</v>
      </c>
      <c r="C60" s="29" t="s">
        <v>27</v>
      </c>
      <c r="D60" s="13">
        <v>81006</v>
      </c>
      <c r="E60" s="64" t="s">
        <v>603</v>
      </c>
      <c r="F60" s="12">
        <f>'Memória de cálculo'!H202</f>
        <v>0.8</v>
      </c>
      <c r="G60" s="13" t="s">
        <v>61</v>
      </c>
      <c r="H60" s="455"/>
      <c r="I60" s="455"/>
      <c r="J60" s="452">
        <f t="shared" si="4"/>
        <v>0</v>
      </c>
      <c r="K60" s="269"/>
    </row>
    <row r="61" spans="2:11" s="7" customFormat="1" ht="15" customHeight="1" x14ac:dyDescent="0.2">
      <c r="B61" s="16" t="s">
        <v>297</v>
      </c>
      <c r="C61" s="29" t="s">
        <v>27</v>
      </c>
      <c r="D61" s="13">
        <v>81041</v>
      </c>
      <c r="E61" s="64" t="s">
        <v>246</v>
      </c>
      <c r="F61" s="80">
        <f>'Memória de cálculo'!H205</f>
        <v>4</v>
      </c>
      <c r="G61" s="29" t="s">
        <v>264</v>
      </c>
      <c r="H61" s="455"/>
      <c r="I61" s="455"/>
      <c r="J61" s="452">
        <f t="shared" si="4"/>
        <v>0</v>
      </c>
      <c r="K61" s="269"/>
    </row>
    <row r="62" spans="2:11" s="7" customFormat="1" ht="15" customHeight="1" x14ac:dyDescent="0.2">
      <c r="B62" s="16" t="s">
        <v>298</v>
      </c>
      <c r="C62" s="29" t="s">
        <v>27</v>
      </c>
      <c r="D62" s="13">
        <v>81321</v>
      </c>
      <c r="E62" s="64" t="s">
        <v>247</v>
      </c>
      <c r="F62" s="80">
        <f>'Memória de cálculo'!H208</f>
        <v>8</v>
      </c>
      <c r="G62" s="29" t="s">
        <v>264</v>
      </c>
      <c r="H62" s="455"/>
      <c r="I62" s="455"/>
      <c r="J62" s="452">
        <f t="shared" si="4"/>
        <v>0</v>
      </c>
      <c r="K62" s="269"/>
    </row>
    <row r="63" spans="2:11" s="7" customFormat="1" ht="15" customHeight="1" x14ac:dyDescent="0.2">
      <c r="B63" s="16" t="s">
        <v>299</v>
      </c>
      <c r="C63" s="29" t="s">
        <v>27</v>
      </c>
      <c r="D63" s="13">
        <v>81324</v>
      </c>
      <c r="E63" s="64" t="s">
        <v>655</v>
      </c>
      <c r="F63" s="80">
        <f>'Memória de cálculo'!H211</f>
        <v>1</v>
      </c>
      <c r="G63" s="29" t="s">
        <v>264</v>
      </c>
      <c r="H63" s="455"/>
      <c r="I63" s="455"/>
      <c r="J63" s="452">
        <f t="shared" si="4"/>
        <v>0</v>
      </c>
      <c r="K63" s="269"/>
    </row>
    <row r="64" spans="2:11" s="7" customFormat="1" ht="15" customHeight="1" x14ac:dyDescent="0.2">
      <c r="B64" s="16" t="s">
        <v>300</v>
      </c>
      <c r="C64" s="29" t="s">
        <v>27</v>
      </c>
      <c r="D64" s="13">
        <v>81402</v>
      </c>
      <c r="E64" s="14" t="s">
        <v>248</v>
      </c>
      <c r="F64" s="80">
        <f>'Memória de cálculo'!H214</f>
        <v>5</v>
      </c>
      <c r="G64" s="29" t="s">
        <v>264</v>
      </c>
      <c r="H64" s="455"/>
      <c r="I64" s="455"/>
      <c r="J64" s="452">
        <f t="shared" si="4"/>
        <v>0</v>
      </c>
      <c r="K64" s="269"/>
    </row>
    <row r="65" spans="2:11" s="7" customFormat="1" ht="15" customHeight="1" x14ac:dyDescent="0.2">
      <c r="B65" s="16" t="s">
        <v>301</v>
      </c>
      <c r="C65" s="29" t="s">
        <v>27</v>
      </c>
      <c r="D65" s="13">
        <v>81424</v>
      </c>
      <c r="E65" s="14" t="s">
        <v>639</v>
      </c>
      <c r="F65" s="80">
        <f>'Memória de cálculo'!H217</f>
        <v>1</v>
      </c>
      <c r="G65" s="29" t="s">
        <v>264</v>
      </c>
      <c r="H65" s="455"/>
      <c r="I65" s="455"/>
      <c r="J65" s="452">
        <f t="shared" si="4"/>
        <v>0</v>
      </c>
      <c r="K65" s="269"/>
    </row>
    <row r="66" spans="2:11" s="7" customFormat="1" ht="15" customHeight="1" x14ac:dyDescent="0.2">
      <c r="B66" s="16" t="s">
        <v>302</v>
      </c>
      <c r="C66" s="29" t="s">
        <v>27</v>
      </c>
      <c r="D66" s="13">
        <v>81661</v>
      </c>
      <c r="E66" s="14" t="s">
        <v>251</v>
      </c>
      <c r="F66" s="80">
        <f>'Memória de cálculo'!H220</f>
        <v>1</v>
      </c>
      <c r="G66" s="29" t="s">
        <v>264</v>
      </c>
      <c r="H66" s="455"/>
      <c r="I66" s="455"/>
      <c r="J66" s="452">
        <f t="shared" si="4"/>
        <v>0</v>
      </c>
      <c r="K66" s="269"/>
    </row>
    <row r="67" spans="2:11" s="7" customFormat="1" ht="15" customHeight="1" x14ac:dyDescent="0.2">
      <c r="B67" s="16" t="s">
        <v>303</v>
      </c>
      <c r="C67" s="29" t="s">
        <v>27</v>
      </c>
      <c r="D67" s="13">
        <v>81679</v>
      </c>
      <c r="E67" s="14" t="s">
        <v>250</v>
      </c>
      <c r="F67" s="80">
        <f>'Memória de cálculo'!H223</f>
        <v>1</v>
      </c>
      <c r="G67" s="29" t="s">
        <v>264</v>
      </c>
      <c r="H67" s="455"/>
      <c r="I67" s="455"/>
      <c r="J67" s="452">
        <f t="shared" si="4"/>
        <v>0</v>
      </c>
      <c r="K67" s="269"/>
    </row>
    <row r="68" spans="2:11" s="7" customFormat="1" ht="15" customHeight="1" x14ac:dyDescent="0.2">
      <c r="B68" s="16" t="s">
        <v>304</v>
      </c>
      <c r="C68" s="29" t="s">
        <v>27</v>
      </c>
      <c r="D68" s="13">
        <v>81922</v>
      </c>
      <c r="E68" s="14" t="s">
        <v>253</v>
      </c>
      <c r="F68" s="80">
        <f>'Memória de cálculo'!H226</f>
        <v>2</v>
      </c>
      <c r="G68" s="29" t="s">
        <v>264</v>
      </c>
      <c r="H68" s="455"/>
      <c r="I68" s="455"/>
      <c r="J68" s="452">
        <f t="shared" si="4"/>
        <v>0</v>
      </c>
      <c r="K68" s="269"/>
    </row>
    <row r="69" spans="2:11" s="7" customFormat="1" ht="15" customHeight="1" x14ac:dyDescent="0.2">
      <c r="B69" s="16" t="s">
        <v>305</v>
      </c>
      <c r="C69" s="29" t="s">
        <v>27</v>
      </c>
      <c r="D69" s="13">
        <v>81923</v>
      </c>
      <c r="E69" s="14" t="s">
        <v>254</v>
      </c>
      <c r="F69" s="80">
        <v>2</v>
      </c>
      <c r="G69" s="29" t="s">
        <v>264</v>
      </c>
      <c r="H69" s="455"/>
      <c r="I69" s="455"/>
      <c r="J69" s="452">
        <f t="shared" si="4"/>
        <v>0</v>
      </c>
      <c r="K69" s="269"/>
    </row>
    <row r="70" spans="2:11" s="7" customFormat="1" ht="15" customHeight="1" x14ac:dyDescent="0.2">
      <c r="B70" s="16" t="s">
        <v>306</v>
      </c>
      <c r="C70" s="29" t="s">
        <v>27</v>
      </c>
      <c r="D70" s="13">
        <v>81935</v>
      </c>
      <c r="E70" s="14" t="s">
        <v>252</v>
      </c>
      <c r="F70" s="80">
        <f>'Memória de cálculo'!H232</f>
        <v>6</v>
      </c>
      <c r="G70" s="29" t="s">
        <v>264</v>
      </c>
      <c r="H70" s="455"/>
      <c r="I70" s="455"/>
      <c r="J70" s="452">
        <f t="shared" si="4"/>
        <v>0</v>
      </c>
      <c r="K70" s="269"/>
    </row>
    <row r="71" spans="2:11" s="7" customFormat="1" ht="15" customHeight="1" x14ac:dyDescent="0.2">
      <c r="B71" s="16" t="s">
        <v>307</v>
      </c>
      <c r="C71" s="29" t="s">
        <v>27</v>
      </c>
      <c r="D71" s="13">
        <v>81970</v>
      </c>
      <c r="E71" s="14" t="s">
        <v>256</v>
      </c>
      <c r="F71" s="80">
        <f>'Memória de cálculo'!H235</f>
        <v>2</v>
      </c>
      <c r="G71" s="29" t="s">
        <v>264</v>
      </c>
      <c r="H71" s="455"/>
      <c r="I71" s="455"/>
      <c r="J71" s="452">
        <f t="shared" si="4"/>
        <v>0</v>
      </c>
      <c r="K71" s="269"/>
    </row>
    <row r="72" spans="2:11" s="7" customFormat="1" ht="15" customHeight="1" x14ac:dyDescent="0.2">
      <c r="B72" s="16" t="s">
        <v>308</v>
      </c>
      <c r="C72" s="29" t="s">
        <v>27</v>
      </c>
      <c r="D72" s="13">
        <v>81975</v>
      </c>
      <c r="E72" s="14" t="s">
        <v>640</v>
      </c>
      <c r="F72" s="80">
        <f>'Memória de cálculo'!H238</f>
        <v>3</v>
      </c>
      <c r="G72" s="29" t="s">
        <v>264</v>
      </c>
      <c r="H72" s="455"/>
      <c r="I72" s="455"/>
      <c r="J72" s="452">
        <f t="shared" si="4"/>
        <v>0</v>
      </c>
      <c r="K72" s="269"/>
    </row>
    <row r="73" spans="2:11" s="7" customFormat="1" ht="15" customHeight="1" x14ac:dyDescent="0.2">
      <c r="B73" s="16" t="s">
        <v>309</v>
      </c>
      <c r="C73" s="29" t="s">
        <v>27</v>
      </c>
      <c r="D73" s="13">
        <v>82001</v>
      </c>
      <c r="E73" s="14" t="s">
        <v>255</v>
      </c>
      <c r="F73" s="80">
        <f>'Memória de cálculo'!H241</f>
        <v>2</v>
      </c>
      <c r="G73" s="29" t="s">
        <v>264</v>
      </c>
      <c r="H73" s="455"/>
      <c r="I73" s="455"/>
      <c r="J73" s="452">
        <f t="shared" si="4"/>
        <v>0</v>
      </c>
      <c r="K73" s="269"/>
    </row>
    <row r="74" spans="2:11" s="7" customFormat="1" ht="15" customHeight="1" x14ac:dyDescent="0.2">
      <c r="B74" s="16" t="s">
        <v>310</v>
      </c>
      <c r="C74" s="29" t="s">
        <v>27</v>
      </c>
      <c r="D74" s="13">
        <v>82201</v>
      </c>
      <c r="E74" s="14" t="s">
        <v>263</v>
      </c>
      <c r="F74" s="80">
        <f>'Memória de cálculo'!H244</f>
        <v>1</v>
      </c>
      <c r="G74" s="29" t="s">
        <v>264</v>
      </c>
      <c r="H74" s="455"/>
      <c r="I74" s="455"/>
      <c r="J74" s="452">
        <f t="shared" si="4"/>
        <v>0</v>
      </c>
      <c r="K74" s="269"/>
    </row>
    <row r="75" spans="2:11" s="7" customFormat="1" ht="15" customHeight="1" x14ac:dyDescent="0.2">
      <c r="B75" s="16" t="s">
        <v>311</v>
      </c>
      <c r="C75" s="29" t="s">
        <v>27</v>
      </c>
      <c r="D75" s="13">
        <v>82301</v>
      </c>
      <c r="E75" s="14" t="s">
        <v>257</v>
      </c>
      <c r="F75" s="12">
        <f>'Memória de cálculo'!H247</f>
        <v>5.51</v>
      </c>
      <c r="G75" s="13" t="s">
        <v>61</v>
      </c>
      <c r="H75" s="455"/>
      <c r="I75" s="455"/>
      <c r="J75" s="452">
        <f t="shared" si="4"/>
        <v>0</v>
      </c>
      <c r="K75" s="269"/>
    </row>
    <row r="76" spans="2:11" s="7" customFormat="1" ht="15" customHeight="1" x14ac:dyDescent="0.2">
      <c r="B76" s="16" t="s">
        <v>312</v>
      </c>
      <c r="C76" s="29" t="s">
        <v>27</v>
      </c>
      <c r="D76" s="13">
        <v>82302</v>
      </c>
      <c r="E76" s="14" t="s">
        <v>258</v>
      </c>
      <c r="F76" s="12">
        <f>'Memória de cálculo'!H250</f>
        <v>4.5199999999999996</v>
      </c>
      <c r="G76" s="13" t="s">
        <v>61</v>
      </c>
      <c r="H76" s="455"/>
      <c r="I76" s="455"/>
      <c r="J76" s="452">
        <f t="shared" si="4"/>
        <v>0</v>
      </c>
      <c r="K76" s="269"/>
    </row>
    <row r="77" spans="2:11" s="7" customFormat="1" ht="15" customHeight="1" x14ac:dyDescent="0.2">
      <c r="B77" s="16" t="s">
        <v>661</v>
      </c>
      <c r="C77" s="29" t="s">
        <v>27</v>
      </c>
      <c r="D77" s="13">
        <v>82303</v>
      </c>
      <c r="E77" s="14" t="s">
        <v>259</v>
      </c>
      <c r="F77" s="12">
        <f>'Memória de cálculo'!H253</f>
        <v>1.1499999999999999</v>
      </c>
      <c r="G77" s="13" t="s">
        <v>61</v>
      </c>
      <c r="H77" s="455"/>
      <c r="I77" s="455"/>
      <c r="J77" s="452">
        <f t="shared" si="4"/>
        <v>0</v>
      </c>
      <c r="K77" s="269"/>
    </row>
    <row r="78" spans="2:11" s="7" customFormat="1" ht="15" customHeight="1" x14ac:dyDescent="0.2">
      <c r="B78" s="16" t="s">
        <v>662</v>
      </c>
      <c r="C78" s="29" t="s">
        <v>27</v>
      </c>
      <c r="D78" s="13">
        <v>82304</v>
      </c>
      <c r="E78" s="14" t="s">
        <v>607</v>
      </c>
      <c r="F78" s="12">
        <f>'Memória de cálculo'!H256</f>
        <v>5</v>
      </c>
      <c r="G78" s="13" t="s">
        <v>98</v>
      </c>
      <c r="H78" s="455"/>
      <c r="I78" s="455"/>
      <c r="J78" s="452">
        <f t="shared" si="4"/>
        <v>0</v>
      </c>
      <c r="K78" s="269"/>
    </row>
    <row r="79" spans="2:11" s="7" customFormat="1" ht="15" customHeight="1" x14ac:dyDescent="0.2">
      <c r="B79" s="16" t="s">
        <v>664</v>
      </c>
      <c r="C79" s="29" t="s">
        <v>27</v>
      </c>
      <c r="D79" s="13">
        <v>81860</v>
      </c>
      <c r="E79" s="14" t="s">
        <v>520</v>
      </c>
      <c r="F79" s="80">
        <f>'Memória de cálculo'!H259</f>
        <v>1</v>
      </c>
      <c r="G79" s="29" t="s">
        <v>264</v>
      </c>
      <c r="H79" s="455"/>
      <c r="I79" s="455"/>
      <c r="J79" s="452">
        <f t="shared" si="4"/>
        <v>0</v>
      </c>
      <c r="K79" s="43"/>
    </row>
    <row r="80" spans="2:11" s="7" customFormat="1" ht="17" thickBot="1" x14ac:dyDescent="0.25">
      <c r="B80" s="266" t="s">
        <v>594</v>
      </c>
      <c r="C80" s="267"/>
      <c r="D80" s="267"/>
      <c r="E80" s="267"/>
      <c r="F80" s="267"/>
      <c r="G80" s="267"/>
      <c r="H80" s="267"/>
      <c r="I80" s="268"/>
      <c r="J80" s="74">
        <f>SUM(J46:J79)</f>
        <v>0</v>
      </c>
      <c r="K80" s="43">
        <f>J80+(J80*I153)</f>
        <v>0</v>
      </c>
    </row>
    <row r="81" spans="2:11" s="7" customFormat="1" ht="16" customHeight="1" thickBot="1" x14ac:dyDescent="0.25">
      <c r="B81" s="281" t="s">
        <v>137</v>
      </c>
      <c r="C81" s="282"/>
      <c r="D81" s="282"/>
      <c r="E81" s="282"/>
      <c r="F81" s="282"/>
      <c r="G81" s="282"/>
      <c r="H81" s="282"/>
      <c r="I81" s="282"/>
      <c r="J81" s="283"/>
      <c r="K81" s="42"/>
    </row>
    <row r="82" spans="2:11" s="7" customFormat="1" ht="15" customHeight="1" x14ac:dyDescent="0.2">
      <c r="B82" s="20" t="s">
        <v>14</v>
      </c>
      <c r="C82" s="29" t="s">
        <v>27</v>
      </c>
      <c r="D82" s="29">
        <v>100160</v>
      </c>
      <c r="E82" s="57" t="s">
        <v>136</v>
      </c>
      <c r="F82" s="56">
        <f>'Memória de cálculo'!H281</f>
        <v>46.60499999999999</v>
      </c>
      <c r="G82" s="29" t="s">
        <v>8</v>
      </c>
      <c r="H82" s="456"/>
      <c r="I82" s="456"/>
      <c r="J82" s="452">
        <f t="shared" ref="J82:J84" si="5">I82+H82</f>
        <v>0</v>
      </c>
      <c r="K82" s="65"/>
    </row>
    <row r="83" spans="2:11" s="7" customFormat="1" ht="15" customHeight="1" x14ac:dyDescent="0.2">
      <c r="B83" s="20" t="s">
        <v>185</v>
      </c>
      <c r="C83" s="29" t="s">
        <v>27</v>
      </c>
      <c r="D83" s="29">
        <v>100302</v>
      </c>
      <c r="E83" s="57" t="s">
        <v>649</v>
      </c>
      <c r="F83" s="56">
        <f>'Memória de cálculo'!H284</f>
        <v>1.1000000000000001</v>
      </c>
      <c r="G83" s="29" t="s">
        <v>8</v>
      </c>
      <c r="H83" s="456"/>
      <c r="I83" s="456"/>
      <c r="J83" s="452">
        <f t="shared" si="5"/>
        <v>0</v>
      </c>
      <c r="K83" s="113"/>
    </row>
    <row r="84" spans="2:11" s="7" customFormat="1" ht="15" customHeight="1" x14ac:dyDescent="0.2">
      <c r="B84" s="20" t="s">
        <v>648</v>
      </c>
      <c r="C84" s="29" t="s">
        <v>27</v>
      </c>
      <c r="D84" s="29">
        <v>100501</v>
      </c>
      <c r="E84" s="57" t="s">
        <v>146</v>
      </c>
      <c r="F84" s="56">
        <f>'Memória de cálculo'!H287</f>
        <v>258.5</v>
      </c>
      <c r="G84" s="29" t="s">
        <v>8</v>
      </c>
      <c r="H84" s="457"/>
      <c r="I84" s="457"/>
      <c r="J84" s="452">
        <f t="shared" si="5"/>
        <v>0</v>
      </c>
      <c r="K84" s="65"/>
    </row>
    <row r="85" spans="2:11" s="7" customFormat="1" ht="17" thickBot="1" x14ac:dyDescent="0.25">
      <c r="B85" s="263" t="s">
        <v>594</v>
      </c>
      <c r="C85" s="264"/>
      <c r="D85" s="264"/>
      <c r="E85" s="264"/>
      <c r="F85" s="264"/>
      <c r="G85" s="264"/>
      <c r="H85" s="264"/>
      <c r="I85" s="265"/>
      <c r="J85" s="205">
        <f>SUM(J82:J84)</f>
        <v>0</v>
      </c>
      <c r="K85" s="43">
        <f>J85+(J85*I153)</f>
        <v>0</v>
      </c>
    </row>
    <row r="86" spans="2:11" s="7" customFormat="1" ht="15.75" customHeight="1" thickBot="1" x14ac:dyDescent="0.25">
      <c r="B86" s="281" t="s">
        <v>151</v>
      </c>
      <c r="C86" s="282"/>
      <c r="D86" s="282"/>
      <c r="E86" s="282"/>
      <c r="F86" s="282"/>
      <c r="G86" s="282"/>
      <c r="H86" s="282"/>
      <c r="I86" s="282"/>
      <c r="J86" s="283"/>
      <c r="K86" s="42"/>
    </row>
    <row r="87" spans="2:11" s="7" customFormat="1" ht="15" customHeight="1" x14ac:dyDescent="0.2">
      <c r="B87" s="20" t="s">
        <v>15</v>
      </c>
      <c r="C87" s="21" t="s">
        <v>27</v>
      </c>
      <c r="D87" s="29">
        <v>140101</v>
      </c>
      <c r="E87" s="55" t="s">
        <v>152</v>
      </c>
      <c r="F87" s="56">
        <f>'Memória de cálculo'!H294</f>
        <v>20.057500000000001</v>
      </c>
      <c r="G87" s="29" t="s">
        <v>24</v>
      </c>
      <c r="H87" s="456"/>
      <c r="I87" s="456"/>
      <c r="J87" s="452">
        <f t="shared" ref="J87:J88" si="6">I87+H87</f>
        <v>0</v>
      </c>
      <c r="K87" s="65"/>
    </row>
    <row r="88" spans="2:11" s="7" customFormat="1" ht="15" customHeight="1" x14ac:dyDescent="0.2">
      <c r="B88" s="20" t="s">
        <v>46</v>
      </c>
      <c r="C88" s="29" t="s">
        <v>27</v>
      </c>
      <c r="D88" s="29">
        <v>140301</v>
      </c>
      <c r="E88" s="55" t="s">
        <v>606</v>
      </c>
      <c r="F88" s="56">
        <f>'Memória de cálculo'!H300</f>
        <v>20.057500000000001</v>
      </c>
      <c r="G88" s="29" t="s">
        <v>8</v>
      </c>
      <c r="H88" s="457"/>
      <c r="I88" s="457"/>
      <c r="J88" s="452">
        <f t="shared" si="6"/>
        <v>0</v>
      </c>
      <c r="K88" s="65"/>
    </row>
    <row r="89" spans="2:11" s="7" customFormat="1" ht="17" thickBot="1" x14ac:dyDescent="0.25">
      <c r="B89" s="263" t="s">
        <v>594</v>
      </c>
      <c r="C89" s="264"/>
      <c r="D89" s="264"/>
      <c r="E89" s="264"/>
      <c r="F89" s="264"/>
      <c r="G89" s="264"/>
      <c r="H89" s="264"/>
      <c r="I89" s="265"/>
      <c r="J89" s="74">
        <f>SUM(J87:J88)</f>
        <v>0</v>
      </c>
      <c r="K89" s="43">
        <f>J89+(J89*I153)</f>
        <v>0</v>
      </c>
    </row>
    <row r="90" spans="2:11" s="7" customFormat="1" ht="15.75" customHeight="1" thickBot="1" x14ac:dyDescent="0.25">
      <c r="B90" s="281" t="s">
        <v>154</v>
      </c>
      <c r="C90" s="282"/>
      <c r="D90" s="282"/>
      <c r="E90" s="282"/>
      <c r="F90" s="282"/>
      <c r="G90" s="282"/>
      <c r="H90" s="282"/>
      <c r="I90" s="282"/>
      <c r="J90" s="283"/>
      <c r="K90" s="42"/>
    </row>
    <row r="91" spans="2:11" s="7" customFormat="1" ht="15" customHeight="1" x14ac:dyDescent="0.2">
      <c r="B91" s="20" t="s">
        <v>59</v>
      </c>
      <c r="C91" s="21" t="s">
        <v>27</v>
      </c>
      <c r="D91" s="29">
        <v>160100</v>
      </c>
      <c r="E91" s="55" t="s">
        <v>155</v>
      </c>
      <c r="F91" s="56">
        <f>'Memória de cálculo'!H307</f>
        <v>20.057500000000001</v>
      </c>
      <c r="G91" s="29" t="s">
        <v>8</v>
      </c>
      <c r="H91" s="456"/>
      <c r="I91" s="456"/>
      <c r="J91" s="452">
        <f t="shared" ref="J91:J92" si="7">I91+H91</f>
        <v>0</v>
      </c>
      <c r="K91" s="65"/>
    </row>
    <row r="92" spans="2:11" s="7" customFormat="1" ht="15" customHeight="1" x14ac:dyDescent="0.2">
      <c r="B92" s="20" t="s">
        <v>313</v>
      </c>
      <c r="C92" s="29" t="s">
        <v>27</v>
      </c>
      <c r="D92" s="29">
        <v>160101</v>
      </c>
      <c r="E92" s="55" t="s">
        <v>156</v>
      </c>
      <c r="F92" s="56">
        <f>'Memória de cálculo'!H311</f>
        <v>5.5</v>
      </c>
      <c r="G92" s="29" t="s">
        <v>61</v>
      </c>
      <c r="H92" s="457"/>
      <c r="I92" s="457"/>
      <c r="J92" s="452">
        <f t="shared" si="7"/>
        <v>0</v>
      </c>
      <c r="K92" s="65"/>
    </row>
    <row r="93" spans="2:11" s="7" customFormat="1" ht="17" thickBot="1" x14ac:dyDescent="0.25">
      <c r="B93" s="263" t="s">
        <v>594</v>
      </c>
      <c r="C93" s="264"/>
      <c r="D93" s="264"/>
      <c r="E93" s="264"/>
      <c r="F93" s="264"/>
      <c r="G93" s="264"/>
      <c r="H93" s="264"/>
      <c r="I93" s="265"/>
      <c r="J93" s="74">
        <f>SUM(J91:J92)</f>
        <v>0</v>
      </c>
      <c r="K93" s="43">
        <f>J93+(J93*I153)</f>
        <v>0</v>
      </c>
    </row>
    <row r="94" spans="2:11" s="7" customFormat="1" ht="16" customHeight="1" thickBot="1" x14ac:dyDescent="0.25">
      <c r="B94" s="281" t="s">
        <v>158</v>
      </c>
      <c r="C94" s="282"/>
      <c r="D94" s="282"/>
      <c r="E94" s="282"/>
      <c r="F94" s="282"/>
      <c r="G94" s="282"/>
      <c r="H94" s="282"/>
      <c r="I94" s="282"/>
      <c r="J94" s="283"/>
      <c r="K94" s="42"/>
    </row>
    <row r="95" spans="2:11" s="7" customFormat="1" ht="15" customHeight="1" x14ac:dyDescent="0.2">
      <c r="B95" s="40" t="s">
        <v>314</v>
      </c>
      <c r="C95" s="15" t="s">
        <v>27</v>
      </c>
      <c r="D95" s="13">
        <v>180304</v>
      </c>
      <c r="E95" s="14" t="s">
        <v>161</v>
      </c>
      <c r="F95" s="12">
        <f>'Memória de cálculo'!H317</f>
        <v>21.28</v>
      </c>
      <c r="G95" s="13" t="s">
        <v>24</v>
      </c>
      <c r="H95" s="455"/>
      <c r="I95" s="455"/>
      <c r="J95" s="452">
        <f t="shared" ref="J95:J102" si="8">I95+H95</f>
        <v>0</v>
      </c>
      <c r="K95" s="45"/>
    </row>
    <row r="96" spans="2:11" s="7" customFormat="1" ht="15" customHeight="1" x14ac:dyDescent="0.2">
      <c r="B96" s="40" t="s">
        <v>315</v>
      </c>
      <c r="C96" s="15" t="s">
        <v>27</v>
      </c>
      <c r="D96" s="13">
        <v>180330</v>
      </c>
      <c r="E96" s="14" t="s">
        <v>160</v>
      </c>
      <c r="F96" s="12">
        <f>'Memória de cálculo'!H320</f>
        <v>4.07</v>
      </c>
      <c r="G96" s="13" t="s">
        <v>8</v>
      </c>
      <c r="H96" s="455"/>
      <c r="I96" s="455"/>
      <c r="J96" s="452">
        <f t="shared" si="8"/>
        <v>0</v>
      </c>
      <c r="K96" s="45"/>
    </row>
    <row r="97" spans="2:11" s="7" customFormat="1" ht="15" customHeight="1" x14ac:dyDescent="0.2">
      <c r="B97" s="40" t="s">
        <v>316</v>
      </c>
      <c r="C97" s="15" t="s">
        <v>27</v>
      </c>
      <c r="D97" s="13">
        <v>180403</v>
      </c>
      <c r="E97" s="14" t="s">
        <v>605</v>
      </c>
      <c r="F97" s="12">
        <f>'Memória de cálculo'!H328</f>
        <v>2.5599999999999996</v>
      </c>
      <c r="G97" s="13" t="s">
        <v>24</v>
      </c>
      <c r="H97" s="455"/>
      <c r="I97" s="455"/>
      <c r="J97" s="452">
        <f t="shared" si="8"/>
        <v>0</v>
      </c>
      <c r="K97" s="45"/>
    </row>
    <row r="98" spans="2:11" s="7" customFormat="1" ht="15" customHeight="1" x14ac:dyDescent="0.2">
      <c r="B98" s="40" t="s">
        <v>317</v>
      </c>
      <c r="C98" s="15" t="s">
        <v>27</v>
      </c>
      <c r="D98" s="13">
        <v>180401</v>
      </c>
      <c r="E98" s="14" t="s">
        <v>165</v>
      </c>
      <c r="F98" s="12">
        <f>'Memória de cálculo'!H332</f>
        <v>1</v>
      </c>
      <c r="G98" s="13" t="s">
        <v>24</v>
      </c>
      <c r="H98" s="455"/>
      <c r="I98" s="455"/>
      <c r="J98" s="452">
        <f t="shared" si="8"/>
        <v>0</v>
      </c>
      <c r="K98" s="45"/>
    </row>
    <row r="99" spans="2:11" s="7" customFormat="1" ht="15" customHeight="1" x14ac:dyDescent="0.2">
      <c r="B99" s="40" t="s">
        <v>318</v>
      </c>
      <c r="C99" s="15" t="s">
        <v>27</v>
      </c>
      <c r="D99" s="13">
        <v>180490</v>
      </c>
      <c r="E99" s="14" t="s">
        <v>702</v>
      </c>
      <c r="F99" s="12">
        <f>'Memória de cálculo'!H335</f>
        <v>0.09</v>
      </c>
      <c r="G99" s="13" t="s">
        <v>8</v>
      </c>
      <c r="H99" s="455"/>
      <c r="I99" s="455"/>
      <c r="J99" s="452">
        <f t="shared" si="8"/>
        <v>0</v>
      </c>
      <c r="K99" s="45"/>
    </row>
    <row r="100" spans="2:11" s="7" customFormat="1" ht="15" customHeight="1" x14ac:dyDescent="0.2">
      <c r="B100" s="40" t="s">
        <v>502</v>
      </c>
      <c r="C100" s="15" t="s">
        <v>27</v>
      </c>
      <c r="D100" s="13">
        <v>180504</v>
      </c>
      <c r="E100" s="14" t="s">
        <v>162</v>
      </c>
      <c r="F100" s="12">
        <f>'Memória de cálculo'!H343</f>
        <v>11.760000000000002</v>
      </c>
      <c r="G100" s="13" t="s">
        <v>24</v>
      </c>
      <c r="H100" s="455"/>
      <c r="I100" s="455"/>
      <c r="J100" s="452">
        <f t="shared" si="8"/>
        <v>0</v>
      </c>
      <c r="K100" s="45"/>
    </row>
    <row r="101" spans="2:11" s="7" customFormat="1" ht="15" customHeight="1" x14ac:dyDescent="0.2">
      <c r="B101" s="40" t="s">
        <v>505</v>
      </c>
      <c r="C101" s="15" t="s">
        <v>27</v>
      </c>
      <c r="D101" s="13">
        <v>180318</v>
      </c>
      <c r="E101" s="35" t="s">
        <v>604</v>
      </c>
      <c r="F101" s="12">
        <f>'Memória de cálculo'!H346</f>
        <v>4.3</v>
      </c>
      <c r="G101" s="13" t="s">
        <v>98</v>
      </c>
      <c r="H101" s="455"/>
      <c r="I101" s="455"/>
      <c r="J101" s="452">
        <f t="shared" si="8"/>
        <v>0</v>
      </c>
      <c r="K101" s="45"/>
    </row>
    <row r="102" spans="2:11" s="7" customFormat="1" ht="15" customHeight="1" x14ac:dyDescent="0.2">
      <c r="B102" s="40" t="s">
        <v>701</v>
      </c>
      <c r="C102" s="15" t="s">
        <v>27</v>
      </c>
      <c r="D102" s="13">
        <v>180320</v>
      </c>
      <c r="E102" s="35" t="s">
        <v>501</v>
      </c>
      <c r="F102" s="12">
        <f>'Memória de cálculo'!H355</f>
        <v>4.26</v>
      </c>
      <c r="G102" s="13" t="s">
        <v>24</v>
      </c>
      <c r="H102" s="455"/>
      <c r="I102" s="455"/>
      <c r="J102" s="452">
        <f t="shared" si="8"/>
        <v>0</v>
      </c>
      <c r="K102" s="45"/>
    </row>
    <row r="103" spans="2:11" s="7" customFormat="1" ht="17" thickBot="1" x14ac:dyDescent="0.25">
      <c r="B103" s="263" t="s">
        <v>594</v>
      </c>
      <c r="C103" s="264"/>
      <c r="D103" s="264"/>
      <c r="E103" s="264"/>
      <c r="F103" s="264"/>
      <c r="G103" s="264"/>
      <c r="H103" s="264"/>
      <c r="I103" s="265"/>
      <c r="J103" s="74">
        <f>SUM(J95:J102)</f>
        <v>0</v>
      </c>
      <c r="K103" s="43">
        <f>J103+(J103*I153)</f>
        <v>0</v>
      </c>
    </row>
    <row r="104" spans="2:11" s="7" customFormat="1" ht="16" customHeight="1" thickBot="1" x14ac:dyDescent="0.25">
      <c r="B104" s="281" t="s">
        <v>57</v>
      </c>
      <c r="C104" s="282"/>
      <c r="D104" s="282"/>
      <c r="E104" s="282"/>
      <c r="F104" s="282"/>
      <c r="G104" s="282"/>
      <c r="H104" s="282"/>
      <c r="I104" s="282"/>
      <c r="J104" s="283"/>
      <c r="K104" s="42"/>
    </row>
    <row r="105" spans="2:11" s="7" customFormat="1" x14ac:dyDescent="0.2">
      <c r="B105" s="16" t="s">
        <v>319</v>
      </c>
      <c r="C105" s="13" t="s">
        <v>27</v>
      </c>
      <c r="D105" s="13">
        <v>190102</v>
      </c>
      <c r="E105" s="66" t="s">
        <v>167</v>
      </c>
      <c r="F105" s="12">
        <f>'Memória de cálculo'!H366</f>
        <v>3.5599999999999996</v>
      </c>
      <c r="G105" s="13" t="s">
        <v>24</v>
      </c>
      <c r="H105" s="455"/>
      <c r="I105" s="455"/>
      <c r="J105" s="452">
        <f t="shared" ref="J105" si="9">I105+H105</f>
        <v>0</v>
      </c>
      <c r="K105" s="43"/>
    </row>
    <row r="106" spans="2:11" s="7" customFormat="1" ht="17" thickBot="1" x14ac:dyDescent="0.25">
      <c r="B106" s="263" t="s">
        <v>594</v>
      </c>
      <c r="C106" s="264"/>
      <c r="D106" s="264"/>
      <c r="E106" s="264"/>
      <c r="F106" s="264"/>
      <c r="G106" s="264"/>
      <c r="H106" s="264"/>
      <c r="I106" s="265"/>
      <c r="J106" s="74">
        <f>SUM(J105:J105)</f>
        <v>0</v>
      </c>
      <c r="K106" s="43">
        <f>J106+(J106*I153)</f>
        <v>0</v>
      </c>
    </row>
    <row r="107" spans="2:11" s="7" customFormat="1" ht="16" customHeight="1" thickBot="1" x14ac:dyDescent="0.25">
      <c r="B107" s="281" t="s">
        <v>168</v>
      </c>
      <c r="C107" s="282"/>
      <c r="D107" s="282"/>
      <c r="E107" s="282"/>
      <c r="F107" s="282"/>
      <c r="G107" s="282"/>
      <c r="H107" s="282"/>
      <c r="I107" s="282"/>
      <c r="J107" s="283"/>
      <c r="K107" s="42"/>
    </row>
    <row r="108" spans="2:11" s="7" customFormat="1" ht="15" customHeight="1" x14ac:dyDescent="0.2">
      <c r="B108" s="16" t="s">
        <v>320</v>
      </c>
      <c r="C108" s="13" t="s">
        <v>27</v>
      </c>
      <c r="D108" s="13">
        <v>200101</v>
      </c>
      <c r="E108" s="66" t="s">
        <v>656</v>
      </c>
      <c r="F108" s="12">
        <f>'Memória de cálculo'!H404</f>
        <v>160.43999999999997</v>
      </c>
      <c r="G108" s="13" t="s">
        <v>24</v>
      </c>
      <c r="H108" s="455"/>
      <c r="I108" s="455"/>
      <c r="J108" s="452">
        <f t="shared" ref="J108:J112" si="10">I108+H108</f>
        <v>0</v>
      </c>
      <c r="K108" s="43"/>
    </row>
    <row r="109" spans="2:11" s="7" customFormat="1" ht="15" customHeight="1" x14ac:dyDescent="0.2">
      <c r="B109" s="16" t="s">
        <v>322</v>
      </c>
      <c r="C109" s="13" t="s">
        <v>27</v>
      </c>
      <c r="D109" s="13">
        <v>200201</v>
      </c>
      <c r="E109" s="66" t="s">
        <v>169</v>
      </c>
      <c r="F109" s="12">
        <f>'Memória de cálculo'!H419</f>
        <v>42.64</v>
      </c>
      <c r="G109" s="13" t="s">
        <v>24</v>
      </c>
      <c r="H109" s="455"/>
      <c r="I109" s="455"/>
      <c r="J109" s="452">
        <f t="shared" si="10"/>
        <v>0</v>
      </c>
      <c r="K109" s="43"/>
    </row>
    <row r="110" spans="2:11" s="7" customFormat="1" ht="15" customHeight="1" x14ac:dyDescent="0.2">
      <c r="B110" s="16" t="s">
        <v>323</v>
      </c>
      <c r="C110" s="13" t="s">
        <v>27</v>
      </c>
      <c r="D110" s="13">
        <v>200499</v>
      </c>
      <c r="E110" s="66" t="s">
        <v>170</v>
      </c>
      <c r="F110" s="12">
        <f>'Memória de cálculo'!H450</f>
        <v>117.79999999999998</v>
      </c>
      <c r="G110" s="13" t="s">
        <v>8</v>
      </c>
      <c r="H110" s="455"/>
      <c r="I110" s="455"/>
      <c r="J110" s="452">
        <f t="shared" si="10"/>
        <v>0</v>
      </c>
      <c r="K110" s="43"/>
    </row>
    <row r="111" spans="2:11" s="7" customFormat="1" ht="15" customHeight="1" x14ac:dyDescent="0.2">
      <c r="B111" s="16" t="s">
        <v>321</v>
      </c>
      <c r="C111" s="13" t="s">
        <v>27</v>
      </c>
      <c r="D111" s="13">
        <v>201302</v>
      </c>
      <c r="E111" s="66" t="s">
        <v>212</v>
      </c>
      <c r="F111" s="12">
        <f>'Memória de cálculo'!H463</f>
        <v>43.36</v>
      </c>
      <c r="G111" s="13" t="s">
        <v>24</v>
      </c>
      <c r="H111" s="455"/>
      <c r="I111" s="455"/>
      <c r="J111" s="452">
        <f t="shared" si="10"/>
        <v>0</v>
      </c>
      <c r="K111" s="43"/>
    </row>
    <row r="112" spans="2:11" s="7" customFormat="1" ht="15" customHeight="1" x14ac:dyDescent="0.2">
      <c r="B112" s="16" t="s">
        <v>579</v>
      </c>
      <c r="C112" s="13" t="s">
        <v>27</v>
      </c>
      <c r="D112" s="13">
        <v>200103</v>
      </c>
      <c r="E112" s="66" t="s">
        <v>578</v>
      </c>
      <c r="F112" s="12">
        <f>'Memória de cálculo'!H472</f>
        <v>3.2</v>
      </c>
      <c r="G112" s="13" t="s">
        <v>98</v>
      </c>
      <c r="H112" s="455"/>
      <c r="I112" s="455"/>
      <c r="J112" s="452">
        <f t="shared" si="10"/>
        <v>0</v>
      </c>
      <c r="K112" s="43"/>
    </row>
    <row r="113" spans="2:11" s="7" customFormat="1" ht="17" thickBot="1" x14ac:dyDescent="0.25">
      <c r="B113" s="263" t="s">
        <v>594</v>
      </c>
      <c r="C113" s="264"/>
      <c r="D113" s="264"/>
      <c r="E113" s="264"/>
      <c r="F113" s="264"/>
      <c r="G113" s="264"/>
      <c r="H113" s="264"/>
      <c r="I113" s="265"/>
      <c r="J113" s="74">
        <f>SUM(J108:J112)</f>
        <v>0</v>
      </c>
      <c r="K113" s="43">
        <f>J113+(J113*I153)</f>
        <v>0</v>
      </c>
    </row>
    <row r="114" spans="2:11" s="7" customFormat="1" ht="16" customHeight="1" thickBot="1" x14ac:dyDescent="0.25">
      <c r="B114" s="281" t="s">
        <v>60</v>
      </c>
      <c r="C114" s="282"/>
      <c r="D114" s="282"/>
      <c r="E114" s="282"/>
      <c r="F114" s="282"/>
      <c r="G114" s="282"/>
      <c r="H114" s="282"/>
      <c r="I114" s="282"/>
      <c r="J114" s="283"/>
      <c r="K114" s="42"/>
    </row>
    <row r="115" spans="2:11" s="7" customFormat="1" x14ac:dyDescent="0.2">
      <c r="B115" s="16" t="s">
        <v>324</v>
      </c>
      <c r="C115" s="13" t="s">
        <v>27</v>
      </c>
      <c r="D115" s="13">
        <v>210460</v>
      </c>
      <c r="E115" s="66" t="s">
        <v>183</v>
      </c>
      <c r="F115" s="12">
        <f>'Memória de cálculo'!H479</f>
        <v>17.200000000000003</v>
      </c>
      <c r="G115" s="13" t="s">
        <v>24</v>
      </c>
      <c r="H115" s="455"/>
      <c r="I115" s="455"/>
      <c r="J115" s="452">
        <f t="shared" ref="J115" si="11">I115+H115</f>
        <v>0</v>
      </c>
      <c r="K115" s="43"/>
    </row>
    <row r="116" spans="2:11" s="7" customFormat="1" ht="17" thickBot="1" x14ac:dyDescent="0.25">
      <c r="B116" s="263" t="s">
        <v>594</v>
      </c>
      <c r="C116" s="264"/>
      <c r="D116" s="264"/>
      <c r="E116" s="264"/>
      <c r="F116" s="264"/>
      <c r="G116" s="264"/>
      <c r="H116" s="264"/>
      <c r="I116" s="265"/>
      <c r="J116" s="74">
        <f>SUM(J115:J115)</f>
        <v>0</v>
      </c>
      <c r="K116" s="43">
        <f>J116+(J116*I153)</f>
        <v>0</v>
      </c>
    </row>
    <row r="117" spans="2:11" s="7" customFormat="1" ht="16" customHeight="1" thickBot="1" x14ac:dyDescent="0.25">
      <c r="B117" s="281" t="s">
        <v>184</v>
      </c>
      <c r="C117" s="282"/>
      <c r="D117" s="282"/>
      <c r="E117" s="282"/>
      <c r="F117" s="282"/>
      <c r="G117" s="282"/>
      <c r="H117" s="282"/>
      <c r="I117" s="282"/>
      <c r="J117" s="283"/>
      <c r="K117" s="42"/>
    </row>
    <row r="118" spans="2:11" s="7" customFormat="1" ht="15" customHeight="1" x14ac:dyDescent="0.2">
      <c r="B118" s="16" t="s">
        <v>325</v>
      </c>
      <c r="C118" s="13" t="s">
        <v>27</v>
      </c>
      <c r="D118" s="13">
        <v>220101</v>
      </c>
      <c r="E118" s="66" t="s">
        <v>641</v>
      </c>
      <c r="F118" s="12">
        <f>'Memória de cálculo'!H484</f>
        <v>6</v>
      </c>
      <c r="G118" s="13" t="s">
        <v>24</v>
      </c>
      <c r="H118" s="455"/>
      <c r="I118" s="455"/>
      <c r="J118" s="452">
        <f t="shared" ref="J118:J124" si="12">I118+H118</f>
        <v>0</v>
      </c>
      <c r="K118" s="43"/>
    </row>
    <row r="119" spans="2:11" s="7" customFormat="1" ht="15" customHeight="1" x14ac:dyDescent="0.2">
      <c r="B119" s="16" t="s">
        <v>326</v>
      </c>
      <c r="C119" s="13" t="s">
        <v>27</v>
      </c>
      <c r="D119" s="13">
        <v>220920</v>
      </c>
      <c r="E119" s="66" t="s">
        <v>714</v>
      </c>
      <c r="F119" s="12">
        <f>'Memória de cálculo'!H490</f>
        <v>0.56999999999999995</v>
      </c>
      <c r="G119" s="13" t="s">
        <v>8</v>
      </c>
      <c r="H119" s="455"/>
      <c r="I119" s="455"/>
      <c r="J119" s="452">
        <f t="shared" si="12"/>
        <v>0</v>
      </c>
      <c r="K119" s="215"/>
    </row>
    <row r="120" spans="2:11" s="7" customFormat="1" ht="15" customHeight="1" x14ac:dyDescent="0.2">
      <c r="B120" s="16" t="s">
        <v>327</v>
      </c>
      <c r="C120" s="13" t="s">
        <v>27</v>
      </c>
      <c r="D120" s="13">
        <v>220309</v>
      </c>
      <c r="E120" s="66" t="s">
        <v>186</v>
      </c>
      <c r="F120" s="12">
        <f>'Memória de cálculo'!H493</f>
        <v>3.48</v>
      </c>
      <c r="G120" s="13" t="s">
        <v>24</v>
      </c>
      <c r="H120" s="455"/>
      <c r="I120" s="455"/>
      <c r="J120" s="452">
        <f t="shared" si="12"/>
        <v>0</v>
      </c>
      <c r="K120" s="43"/>
    </row>
    <row r="121" spans="2:11" s="7" customFormat="1" ht="15" customHeight="1" x14ac:dyDescent="0.2">
      <c r="B121" s="16" t="s">
        <v>328</v>
      </c>
      <c r="C121" s="13" t="s">
        <v>27</v>
      </c>
      <c r="D121" s="13">
        <v>220310</v>
      </c>
      <c r="E121" s="66" t="s">
        <v>187</v>
      </c>
      <c r="F121" s="12">
        <f>'Memória de cálculo'!H497</f>
        <v>6.6800000000000006</v>
      </c>
      <c r="G121" s="13" t="s">
        <v>61</v>
      </c>
      <c r="H121" s="455"/>
      <c r="I121" s="455"/>
      <c r="J121" s="452">
        <f t="shared" si="12"/>
        <v>0</v>
      </c>
      <c r="K121" s="43"/>
    </row>
    <row r="122" spans="2:11" s="7" customFormat="1" ht="15" customHeight="1" x14ac:dyDescent="0.2">
      <c r="B122" s="16" t="s">
        <v>329</v>
      </c>
      <c r="C122" s="13" t="s">
        <v>27</v>
      </c>
      <c r="D122" s="13">
        <v>220311</v>
      </c>
      <c r="E122" s="66" t="s">
        <v>188</v>
      </c>
      <c r="F122" s="12">
        <f>'Memória de cálculo'!H502</f>
        <v>7.71</v>
      </c>
      <c r="G122" s="13" t="s">
        <v>24</v>
      </c>
      <c r="H122" s="455"/>
      <c r="I122" s="455"/>
      <c r="J122" s="452">
        <f t="shared" si="12"/>
        <v>0</v>
      </c>
      <c r="K122" s="43"/>
    </row>
    <row r="123" spans="2:11" s="7" customFormat="1" ht="15" customHeight="1" x14ac:dyDescent="0.2">
      <c r="B123" s="16" t="s">
        <v>582</v>
      </c>
      <c r="C123" s="13" t="s">
        <v>27</v>
      </c>
      <c r="D123" s="13">
        <v>221003</v>
      </c>
      <c r="E123" s="66" t="s">
        <v>189</v>
      </c>
      <c r="F123" s="12">
        <f>'Memória de cálculo'!H505</f>
        <v>748.80000000000007</v>
      </c>
      <c r="G123" s="13" t="s">
        <v>24</v>
      </c>
      <c r="H123" s="455"/>
      <c r="I123" s="455"/>
      <c r="J123" s="452">
        <f t="shared" si="12"/>
        <v>0</v>
      </c>
      <c r="K123" s="43"/>
    </row>
    <row r="124" spans="2:11" s="7" customFormat="1" ht="15" customHeight="1" x14ac:dyDescent="0.2">
      <c r="B124" s="16" t="s">
        <v>715</v>
      </c>
      <c r="C124" s="13" t="s">
        <v>27</v>
      </c>
      <c r="D124" s="13">
        <v>220104</v>
      </c>
      <c r="E124" s="66" t="s">
        <v>581</v>
      </c>
      <c r="F124" s="12">
        <f>'Memória de cálculo'!H509</f>
        <v>5.7520000000000007</v>
      </c>
      <c r="G124" s="13" t="s">
        <v>24</v>
      </c>
      <c r="H124" s="455"/>
      <c r="I124" s="455"/>
      <c r="J124" s="452">
        <f t="shared" si="12"/>
        <v>0</v>
      </c>
      <c r="K124" s="43"/>
    </row>
    <row r="125" spans="2:11" s="7" customFormat="1" ht="17" thickBot="1" x14ac:dyDescent="0.25">
      <c r="B125" s="260" t="s">
        <v>594</v>
      </c>
      <c r="C125" s="261"/>
      <c r="D125" s="261"/>
      <c r="E125" s="261"/>
      <c r="F125" s="261"/>
      <c r="G125" s="261"/>
      <c r="H125" s="261"/>
      <c r="I125" s="262"/>
      <c r="J125" s="74">
        <f>SUM(J118:J124)</f>
        <v>0</v>
      </c>
      <c r="K125" s="43">
        <f>J125+(J125*I153)</f>
        <v>0</v>
      </c>
    </row>
    <row r="126" spans="2:11" s="7" customFormat="1" ht="16" customHeight="1" thickBot="1" x14ac:dyDescent="0.25">
      <c r="B126" s="281" t="s">
        <v>499</v>
      </c>
      <c r="C126" s="282"/>
      <c r="D126" s="282"/>
      <c r="E126" s="282"/>
      <c r="F126" s="282"/>
      <c r="G126" s="282"/>
      <c r="H126" s="282"/>
      <c r="I126" s="282"/>
      <c r="J126" s="283"/>
      <c r="K126" s="42"/>
    </row>
    <row r="127" spans="2:11" s="7" customFormat="1" x14ac:dyDescent="0.2">
      <c r="B127" s="16" t="s">
        <v>330</v>
      </c>
      <c r="C127" s="13" t="s">
        <v>27</v>
      </c>
      <c r="D127" s="13">
        <v>230804</v>
      </c>
      <c r="E127" s="14" t="s">
        <v>500</v>
      </c>
      <c r="F127" s="80">
        <f>'Memória de cálculo'!H515</f>
        <v>6</v>
      </c>
      <c r="G127" s="13" t="s">
        <v>264</v>
      </c>
      <c r="H127" s="455"/>
      <c r="I127" s="455"/>
      <c r="J127" s="452">
        <f t="shared" ref="J127:J128" si="13">I127+H127</f>
        <v>0</v>
      </c>
      <c r="K127" s="44"/>
    </row>
    <row r="128" spans="2:11" s="7" customFormat="1" x14ac:dyDescent="0.2">
      <c r="B128" s="16" t="s">
        <v>694</v>
      </c>
      <c r="C128" s="13" t="s">
        <v>27</v>
      </c>
      <c r="D128" s="242">
        <v>230172</v>
      </c>
      <c r="E128" s="14" t="s">
        <v>695</v>
      </c>
      <c r="F128" s="80">
        <f>'Memória de cálculo'!H519</f>
        <v>6</v>
      </c>
      <c r="G128" s="13" t="s">
        <v>264</v>
      </c>
      <c r="H128" s="455"/>
      <c r="I128" s="455"/>
      <c r="J128" s="452">
        <f t="shared" si="13"/>
        <v>0</v>
      </c>
      <c r="K128" s="44"/>
    </row>
    <row r="129" spans="2:11" s="7" customFormat="1" ht="17" thickBot="1" x14ac:dyDescent="0.25">
      <c r="B129" s="260" t="s">
        <v>594</v>
      </c>
      <c r="C129" s="261"/>
      <c r="D129" s="261"/>
      <c r="E129" s="261"/>
      <c r="F129" s="261"/>
      <c r="G129" s="261"/>
      <c r="H129" s="261"/>
      <c r="I129" s="262"/>
      <c r="J129" s="74">
        <f>SUM(J127:J128)</f>
        <v>0</v>
      </c>
      <c r="K129" s="43">
        <f>J129+(J129*I153)</f>
        <v>0</v>
      </c>
    </row>
    <row r="130" spans="2:11" s="7" customFormat="1" ht="16" customHeight="1" thickBot="1" x14ac:dyDescent="0.25">
      <c r="B130" s="281" t="s">
        <v>25</v>
      </c>
      <c r="C130" s="282"/>
      <c r="D130" s="282"/>
      <c r="E130" s="282"/>
      <c r="F130" s="282"/>
      <c r="G130" s="282"/>
      <c r="H130" s="282"/>
      <c r="I130" s="282"/>
      <c r="J130" s="283"/>
      <c r="K130" s="42"/>
    </row>
    <row r="131" spans="2:11" s="7" customFormat="1" ht="15" customHeight="1" x14ac:dyDescent="0.2">
      <c r="B131" s="8" t="s">
        <v>331</v>
      </c>
      <c r="C131" s="29" t="s">
        <v>27</v>
      </c>
      <c r="D131" s="15">
        <v>260103</v>
      </c>
      <c r="E131" s="14" t="s">
        <v>63</v>
      </c>
      <c r="F131" s="203">
        <f>'Memória de cálculo'!H524</f>
        <v>801.22811999999999</v>
      </c>
      <c r="G131" s="13" t="s">
        <v>24</v>
      </c>
      <c r="H131" s="455"/>
      <c r="I131" s="455"/>
      <c r="J131" s="452">
        <f t="shared" ref="J131:J138" si="14">I131+H131</f>
        <v>0</v>
      </c>
      <c r="K131" s="269"/>
    </row>
    <row r="132" spans="2:11" s="7" customFormat="1" ht="15" customHeight="1" x14ac:dyDescent="0.2">
      <c r="B132" s="8" t="s">
        <v>332</v>
      </c>
      <c r="C132" s="29" t="s">
        <v>27</v>
      </c>
      <c r="D132" s="15">
        <v>260104</v>
      </c>
      <c r="E132" s="14" t="s">
        <v>64</v>
      </c>
      <c r="F132" s="203">
        <f>'Memória de cálculo'!H537</f>
        <v>66.80749999999999</v>
      </c>
      <c r="G132" s="13" t="s">
        <v>8</v>
      </c>
      <c r="H132" s="455"/>
      <c r="I132" s="455"/>
      <c r="J132" s="452">
        <f t="shared" si="14"/>
        <v>0</v>
      </c>
      <c r="K132" s="269"/>
    </row>
    <row r="133" spans="2:11" s="7" customFormat="1" ht="15" customHeight="1" x14ac:dyDescent="0.2">
      <c r="B133" s="8" t="s">
        <v>490</v>
      </c>
      <c r="C133" s="29" t="s">
        <v>27</v>
      </c>
      <c r="D133" s="15">
        <v>261001</v>
      </c>
      <c r="E133" s="14" t="s">
        <v>26</v>
      </c>
      <c r="F133" s="203">
        <f>'Memória de cálculo'!H608</f>
        <v>1298.4275000000002</v>
      </c>
      <c r="G133" s="13" t="s">
        <v>24</v>
      </c>
      <c r="H133" s="455"/>
      <c r="I133" s="455"/>
      <c r="J133" s="452">
        <f t="shared" si="14"/>
        <v>0</v>
      </c>
      <c r="K133" s="269"/>
    </row>
    <row r="134" spans="2:11" s="7" customFormat="1" ht="15" customHeight="1" x14ac:dyDescent="0.2">
      <c r="B134" s="8" t="s">
        <v>491</v>
      </c>
      <c r="C134" s="29" t="s">
        <v>27</v>
      </c>
      <c r="D134" s="15">
        <v>261300</v>
      </c>
      <c r="E134" s="14" t="s">
        <v>191</v>
      </c>
      <c r="F134" s="203">
        <f>'Memória de cálculo'!H650</f>
        <v>183.16749999999996</v>
      </c>
      <c r="G134" s="13" t="s">
        <v>24</v>
      </c>
      <c r="H134" s="455"/>
      <c r="I134" s="455"/>
      <c r="J134" s="452">
        <f t="shared" si="14"/>
        <v>0</v>
      </c>
      <c r="K134" s="269"/>
    </row>
    <row r="135" spans="2:11" s="7" customFormat="1" ht="15" customHeight="1" x14ac:dyDescent="0.2">
      <c r="B135" s="8" t="s">
        <v>492</v>
      </c>
      <c r="C135" s="29" t="s">
        <v>27</v>
      </c>
      <c r="D135" s="15">
        <v>261602</v>
      </c>
      <c r="E135" s="14" t="s">
        <v>192</v>
      </c>
      <c r="F135" s="203">
        <f>'Memória de cálculo'!H672</f>
        <v>35.599999999999994</v>
      </c>
      <c r="G135" s="13" t="s">
        <v>24</v>
      </c>
      <c r="H135" s="455"/>
      <c r="I135" s="455"/>
      <c r="J135" s="452">
        <f t="shared" si="14"/>
        <v>0</v>
      </c>
      <c r="K135" s="269"/>
    </row>
    <row r="136" spans="2:11" s="7" customFormat="1" ht="15" customHeight="1" x14ac:dyDescent="0.2">
      <c r="B136" s="8" t="s">
        <v>493</v>
      </c>
      <c r="C136" s="29" t="s">
        <v>27</v>
      </c>
      <c r="D136" s="15">
        <v>261609</v>
      </c>
      <c r="E136" s="14" t="s">
        <v>65</v>
      </c>
      <c r="F136" s="203">
        <f>'Memória de cálculo'!H678</f>
        <v>3393.0901200000003</v>
      </c>
      <c r="G136" s="13" t="s">
        <v>24</v>
      </c>
      <c r="H136" s="455"/>
      <c r="I136" s="455"/>
      <c r="J136" s="452">
        <f t="shared" si="14"/>
        <v>0</v>
      </c>
      <c r="K136" s="269"/>
    </row>
    <row r="137" spans="2:11" s="7" customFormat="1" ht="15" customHeight="1" x14ac:dyDescent="0.2">
      <c r="B137" s="8" t="s">
        <v>494</v>
      </c>
      <c r="C137" s="29" t="s">
        <v>58</v>
      </c>
      <c r="D137" s="29" t="s">
        <v>66</v>
      </c>
      <c r="E137" s="55" t="s">
        <v>67</v>
      </c>
      <c r="F137" s="203">
        <f>'Memória de cálculo'!H686</f>
        <v>1108.2689999999998</v>
      </c>
      <c r="G137" s="29" t="s">
        <v>8</v>
      </c>
      <c r="H137" s="458"/>
      <c r="I137" s="459"/>
      <c r="J137" s="452">
        <f t="shared" si="14"/>
        <v>0</v>
      </c>
      <c r="K137" s="43"/>
    </row>
    <row r="138" spans="2:11" s="7" customFormat="1" ht="15" customHeight="1" x14ac:dyDescent="0.2">
      <c r="B138" s="8" t="s">
        <v>495</v>
      </c>
      <c r="C138" s="29" t="s">
        <v>27</v>
      </c>
      <c r="D138" s="29">
        <v>260204</v>
      </c>
      <c r="E138" s="55" t="s">
        <v>242</v>
      </c>
      <c r="F138" s="203">
        <f>'Memória de cálculo'!H689</f>
        <v>26.028000000000002</v>
      </c>
      <c r="G138" s="15" t="s">
        <v>24</v>
      </c>
      <c r="H138" s="460"/>
      <c r="I138" s="460"/>
      <c r="J138" s="452">
        <f t="shared" si="14"/>
        <v>0</v>
      </c>
      <c r="K138" s="43"/>
    </row>
    <row r="139" spans="2:11" s="7" customFormat="1" ht="15.75" customHeight="1" thickBot="1" x14ac:dyDescent="0.25">
      <c r="B139" s="260" t="s">
        <v>594</v>
      </c>
      <c r="C139" s="261"/>
      <c r="D139" s="261"/>
      <c r="E139" s="261"/>
      <c r="F139" s="261"/>
      <c r="G139" s="261"/>
      <c r="H139" s="261"/>
      <c r="I139" s="262"/>
      <c r="J139" s="74">
        <f>SUM(J131:J138)</f>
        <v>0</v>
      </c>
      <c r="K139" s="43">
        <f>J139+(J139*I153)</f>
        <v>0</v>
      </c>
    </row>
    <row r="140" spans="2:11" s="7" customFormat="1" ht="15.75" customHeight="1" thickBot="1" x14ac:dyDescent="0.25">
      <c r="B140" s="278" t="s">
        <v>28</v>
      </c>
      <c r="C140" s="279"/>
      <c r="D140" s="279"/>
      <c r="E140" s="279"/>
      <c r="F140" s="279"/>
      <c r="G140" s="279"/>
      <c r="H140" s="279"/>
      <c r="I140" s="279"/>
      <c r="J140" s="280"/>
      <c r="K140" s="42"/>
    </row>
    <row r="141" spans="2:11" s="7" customFormat="1" ht="15" customHeight="1" x14ac:dyDescent="0.2">
      <c r="B141" s="53" t="s">
        <v>570</v>
      </c>
      <c r="C141" s="29" t="s">
        <v>27</v>
      </c>
      <c r="D141" s="29">
        <v>270501</v>
      </c>
      <c r="E141" s="55" t="s">
        <v>47</v>
      </c>
      <c r="F141" s="204">
        <f>'Memória de cálculo'!H692</f>
        <v>1165.8507999999999</v>
      </c>
      <c r="G141" s="29" t="s">
        <v>40</v>
      </c>
      <c r="H141" s="451"/>
      <c r="I141" s="451"/>
      <c r="J141" s="452">
        <f t="shared" ref="J141:J149" si="15">I141+H141</f>
        <v>0</v>
      </c>
      <c r="K141" s="269"/>
    </row>
    <row r="142" spans="2:11" s="7" customFormat="1" ht="15" customHeight="1" x14ac:dyDescent="0.2">
      <c r="B142" s="53" t="s">
        <v>571</v>
      </c>
      <c r="C142" s="29" t="s">
        <v>27</v>
      </c>
      <c r="D142" s="29">
        <v>270802</v>
      </c>
      <c r="E142" s="57" t="s">
        <v>486</v>
      </c>
      <c r="F142" s="78">
        <f>'Memória de cálculo'!H694</f>
        <v>1</v>
      </c>
      <c r="G142" s="29" t="s">
        <v>728</v>
      </c>
      <c r="H142" s="451"/>
      <c r="I142" s="451"/>
      <c r="J142" s="452">
        <f t="shared" si="15"/>
        <v>0</v>
      </c>
      <c r="K142" s="269"/>
    </row>
    <row r="143" spans="2:11" s="7" customFormat="1" ht="15" customHeight="1" x14ac:dyDescent="0.2">
      <c r="B143" s="53" t="s">
        <v>572</v>
      </c>
      <c r="C143" s="29" t="s">
        <v>27</v>
      </c>
      <c r="D143" s="29">
        <v>271101</v>
      </c>
      <c r="E143" s="57" t="s">
        <v>487</v>
      </c>
      <c r="F143" s="78">
        <f>'Memória de cálculo'!H696</f>
        <v>1</v>
      </c>
      <c r="G143" s="29" t="s">
        <v>728</v>
      </c>
      <c r="H143" s="451"/>
      <c r="I143" s="451"/>
      <c r="J143" s="452">
        <f t="shared" si="15"/>
        <v>0</v>
      </c>
      <c r="K143" s="269"/>
    </row>
    <row r="144" spans="2:11" s="7" customFormat="1" ht="15" customHeight="1" x14ac:dyDescent="0.2">
      <c r="B144" s="53" t="s">
        <v>573</v>
      </c>
      <c r="C144" s="29" t="s">
        <v>27</v>
      </c>
      <c r="D144" s="29">
        <v>271103</v>
      </c>
      <c r="E144" s="57" t="s">
        <v>488</v>
      </c>
      <c r="F144" s="78">
        <f>'Memória de cálculo'!H698</f>
        <v>1</v>
      </c>
      <c r="G144" s="29" t="s">
        <v>728</v>
      </c>
      <c r="H144" s="451"/>
      <c r="I144" s="451"/>
      <c r="J144" s="452">
        <f t="shared" si="15"/>
        <v>0</v>
      </c>
      <c r="K144" s="269"/>
    </row>
    <row r="145" spans="2:11" s="7" customFormat="1" ht="15" customHeight="1" x14ac:dyDescent="0.2">
      <c r="B145" s="53" t="s">
        <v>574</v>
      </c>
      <c r="C145" s="29" t="s">
        <v>27</v>
      </c>
      <c r="D145" s="29">
        <v>270891</v>
      </c>
      <c r="E145" s="57" t="s">
        <v>497</v>
      </c>
      <c r="F145" s="78">
        <f>'Memória de cálculo'!H700</f>
        <v>1</v>
      </c>
      <c r="G145" s="29" t="s">
        <v>728</v>
      </c>
      <c r="H145" s="451"/>
      <c r="I145" s="451"/>
      <c r="J145" s="452">
        <f t="shared" si="15"/>
        <v>0</v>
      </c>
      <c r="K145" s="269"/>
    </row>
    <row r="146" spans="2:11" s="7" customFormat="1" ht="15" customHeight="1" x14ac:dyDescent="0.2">
      <c r="B146" s="53" t="s">
        <v>575</v>
      </c>
      <c r="C146" s="29" t="s">
        <v>27</v>
      </c>
      <c r="D146" s="29">
        <v>271099</v>
      </c>
      <c r="E146" s="57" t="s">
        <v>498</v>
      </c>
      <c r="F146" s="78">
        <f>'Memória de cálculo'!H702</f>
        <v>1</v>
      </c>
      <c r="G146" s="29" t="s">
        <v>728</v>
      </c>
      <c r="H146" s="451"/>
      <c r="I146" s="451"/>
      <c r="J146" s="452">
        <f t="shared" si="15"/>
        <v>0</v>
      </c>
      <c r="K146" s="269"/>
    </row>
    <row r="147" spans="2:11" s="7" customFormat="1" ht="15" customHeight="1" x14ac:dyDescent="0.2">
      <c r="B147" s="53" t="s">
        <v>576</v>
      </c>
      <c r="C147" s="29" t="s">
        <v>27</v>
      </c>
      <c r="D147" s="29">
        <v>270811</v>
      </c>
      <c r="E147" s="57" t="s">
        <v>489</v>
      </c>
      <c r="F147" s="78">
        <f>'Memória de cálculo'!H704</f>
        <v>1</v>
      </c>
      <c r="G147" s="29" t="s">
        <v>264</v>
      </c>
      <c r="H147" s="451"/>
      <c r="I147" s="451"/>
      <c r="J147" s="452">
        <f t="shared" si="15"/>
        <v>0</v>
      </c>
      <c r="K147" s="269"/>
    </row>
    <row r="148" spans="2:11" s="7" customFormat="1" ht="42" x14ac:dyDescent="0.2">
      <c r="B148" s="53" t="s">
        <v>577</v>
      </c>
      <c r="C148" s="29" t="s">
        <v>27</v>
      </c>
      <c r="D148" s="29">
        <v>271714</v>
      </c>
      <c r="E148" s="57" t="s">
        <v>589</v>
      </c>
      <c r="F148" s="56">
        <f>'Memória de cálculo'!H706</f>
        <v>7.06</v>
      </c>
      <c r="G148" s="29" t="s">
        <v>61</v>
      </c>
      <c r="H148" s="451"/>
      <c r="I148" s="451"/>
      <c r="J148" s="452">
        <f t="shared" si="15"/>
        <v>0</v>
      </c>
      <c r="K148" s="269"/>
    </row>
    <row r="149" spans="2:11" s="7" customFormat="1" ht="15" customHeight="1" x14ac:dyDescent="0.2">
      <c r="B149" s="53" t="s">
        <v>590</v>
      </c>
      <c r="C149" s="29" t="s">
        <v>27</v>
      </c>
      <c r="D149" s="29">
        <v>270810</v>
      </c>
      <c r="E149" s="55" t="s">
        <v>38</v>
      </c>
      <c r="F149" s="78">
        <f>'Memória de cálculo'!H708</f>
        <v>1</v>
      </c>
      <c r="G149" s="29" t="s">
        <v>264</v>
      </c>
      <c r="H149" s="451"/>
      <c r="I149" s="451"/>
      <c r="J149" s="452">
        <f t="shared" si="15"/>
        <v>0</v>
      </c>
      <c r="K149" s="269"/>
    </row>
    <row r="150" spans="2:11" s="7" customFormat="1" ht="15.75" customHeight="1" thickBot="1" x14ac:dyDescent="0.25">
      <c r="B150" s="263" t="s">
        <v>594</v>
      </c>
      <c r="C150" s="264"/>
      <c r="D150" s="264"/>
      <c r="E150" s="264"/>
      <c r="F150" s="264"/>
      <c r="G150" s="264"/>
      <c r="H150" s="264"/>
      <c r="I150" s="265"/>
      <c r="J150" s="74">
        <f>SUM(J141:J149)</f>
        <v>0</v>
      </c>
      <c r="K150" s="43">
        <f>J150+(J150*I153)</f>
        <v>0</v>
      </c>
    </row>
    <row r="151" spans="2:11" s="7" customFormat="1" ht="7" customHeight="1" thickBot="1" x14ac:dyDescent="0.25">
      <c r="B151" s="284"/>
      <c r="C151" s="285"/>
      <c r="D151" s="285"/>
      <c r="E151" s="285"/>
      <c r="F151" s="285"/>
      <c r="G151" s="285"/>
      <c r="H151" s="285"/>
      <c r="I151" s="285"/>
      <c r="J151" s="286"/>
      <c r="K151" s="46"/>
    </row>
    <row r="152" spans="2:11" s="7" customFormat="1" ht="25" customHeight="1" x14ac:dyDescent="0.2">
      <c r="B152" s="254" t="s">
        <v>10</v>
      </c>
      <c r="C152" s="255"/>
      <c r="D152" s="255"/>
      <c r="E152" s="255"/>
      <c r="F152" s="255"/>
      <c r="G152" s="255"/>
      <c r="H152" s="255"/>
      <c r="I152" s="256"/>
      <c r="J152" s="73">
        <f>SUM(J150,J139,J116,J103,J85,J80,J44,J34,J26,J23,J125,J113,J106,J93,J89,J129)</f>
        <v>0</v>
      </c>
      <c r="K152" s="68"/>
    </row>
    <row r="153" spans="2:11" s="7" customFormat="1" ht="15" customHeight="1" x14ac:dyDescent="0.2">
      <c r="B153" s="287" t="s">
        <v>608</v>
      </c>
      <c r="C153" s="288"/>
      <c r="D153" s="288"/>
      <c r="E153" s="288"/>
      <c r="F153" s="288"/>
      <c r="G153" s="288"/>
      <c r="H153" s="288"/>
      <c r="I153" s="81">
        <v>0.27300000000000002</v>
      </c>
      <c r="J153" s="82">
        <f>J152*I153</f>
        <v>0</v>
      </c>
      <c r="K153" s="65"/>
    </row>
    <row r="154" spans="2:11" s="7" customFormat="1" ht="25" customHeight="1" thickBot="1" x14ac:dyDescent="0.25">
      <c r="B154" s="257" t="s">
        <v>23</v>
      </c>
      <c r="C154" s="258"/>
      <c r="D154" s="258"/>
      <c r="E154" s="258"/>
      <c r="F154" s="258"/>
      <c r="G154" s="258"/>
      <c r="H154" s="258"/>
      <c r="I154" s="259"/>
      <c r="J154" s="72">
        <f>J153+J152</f>
        <v>0</v>
      </c>
      <c r="K154" s="69">
        <f>K150+K139+K125+K116+K113+K106+K103+K93+K89+K85+K80+K44+K34+K26+K23+K129</f>
        <v>0</v>
      </c>
    </row>
    <row r="155" spans="2:11" s="7" customFormat="1" x14ac:dyDescent="0.2">
      <c r="B155" s="247"/>
      <c r="C155" s="248"/>
      <c r="D155" s="248"/>
      <c r="E155" s="249"/>
      <c r="F155" s="248"/>
      <c r="G155" s="248"/>
      <c r="H155" s="250"/>
      <c r="I155" s="250"/>
      <c r="J155" s="251"/>
      <c r="K155" s="50"/>
    </row>
    <row r="156" spans="2:11" s="7" customFormat="1" x14ac:dyDescent="0.2">
      <c r="B156" s="75"/>
      <c r="C156" s="217"/>
      <c r="D156" s="217"/>
      <c r="E156" s="71"/>
      <c r="F156" s="217"/>
      <c r="G156" s="217"/>
      <c r="H156" s="51"/>
      <c r="I156" s="51"/>
      <c r="J156" s="76"/>
      <c r="K156" s="50"/>
    </row>
    <row r="157" spans="2:11" s="7" customFormat="1" x14ac:dyDescent="0.2">
      <c r="B157" s="75"/>
      <c r="C157" s="217"/>
      <c r="D157" s="217"/>
      <c r="E157" s="71"/>
      <c r="F157" s="270"/>
      <c r="G157" s="270"/>
      <c r="H157" s="270"/>
      <c r="I157" s="270"/>
      <c r="J157" s="271"/>
      <c r="K157" s="50"/>
    </row>
    <row r="158" spans="2:11" s="7" customFormat="1" x14ac:dyDescent="0.2">
      <c r="B158" s="75"/>
      <c r="C158" s="217"/>
      <c r="D158" s="216"/>
      <c r="E158" s="32"/>
      <c r="F158" s="270"/>
      <c r="G158" s="270"/>
      <c r="H158" s="270"/>
      <c r="I158" s="270"/>
      <c r="J158" s="271"/>
      <c r="K158" s="50"/>
    </row>
    <row r="159" spans="2:11" s="7" customFormat="1" x14ac:dyDescent="0.2">
      <c r="B159" s="75"/>
      <c r="C159" s="217"/>
      <c r="D159" s="272" t="s">
        <v>39</v>
      </c>
      <c r="E159" s="272"/>
      <c r="F159" s="272" t="s">
        <v>39</v>
      </c>
      <c r="G159" s="272"/>
      <c r="H159" s="272"/>
      <c r="I159" s="272"/>
      <c r="J159" s="273"/>
      <c r="K159" s="50"/>
    </row>
    <row r="160" spans="2:11" s="7" customFormat="1" x14ac:dyDescent="0.2">
      <c r="B160" s="75"/>
      <c r="C160" s="217"/>
      <c r="D160" s="274"/>
      <c r="E160" s="274"/>
      <c r="F160" s="274"/>
      <c r="G160" s="274"/>
      <c r="H160" s="274"/>
      <c r="I160" s="274"/>
      <c r="J160" s="275"/>
      <c r="K160" s="50"/>
    </row>
    <row r="161" spans="2:11" s="7" customFormat="1" ht="16" thickBot="1" x14ac:dyDescent="0.25">
      <c r="B161" s="252"/>
      <c r="C161" s="253"/>
      <c r="D161" s="276"/>
      <c r="E161" s="276"/>
      <c r="F161" s="276"/>
      <c r="G161" s="276"/>
      <c r="H161" s="276"/>
      <c r="I161" s="276"/>
      <c r="J161" s="277"/>
      <c r="K161" s="50"/>
    </row>
    <row r="162" spans="2:11" s="7" customFormat="1" x14ac:dyDescent="0.2">
      <c r="B162" s="48"/>
      <c r="C162" s="48"/>
      <c r="D162" s="70"/>
      <c r="E162" s="71"/>
      <c r="F162" s="70"/>
      <c r="G162" s="70"/>
      <c r="H162" s="51"/>
      <c r="I162" s="51"/>
      <c r="J162" s="51"/>
      <c r="K162" s="51"/>
    </row>
  </sheetData>
  <sheetProtection password="D960" sheet="1" objects="1" scenarios="1"/>
  <mergeCells count="57">
    <mergeCell ref="B2:J2"/>
    <mergeCell ref="B3:J3"/>
    <mergeCell ref="B4:J4"/>
    <mergeCell ref="B5:J5"/>
    <mergeCell ref="B6:J6"/>
    <mergeCell ref="K36:K43"/>
    <mergeCell ref="B7:J7"/>
    <mergeCell ref="B8:J8"/>
    <mergeCell ref="B9:J9"/>
    <mergeCell ref="B11:J11"/>
    <mergeCell ref="B24:J24"/>
    <mergeCell ref="B23:I23"/>
    <mergeCell ref="B26:I26"/>
    <mergeCell ref="C10:D10"/>
    <mergeCell ref="K46:K78"/>
    <mergeCell ref="B106:I106"/>
    <mergeCell ref="B89:I89"/>
    <mergeCell ref="B93:I93"/>
    <mergeCell ref="B104:J104"/>
    <mergeCell ref="B81:J81"/>
    <mergeCell ref="B86:J86"/>
    <mergeCell ref="B90:J90"/>
    <mergeCell ref="B94:J94"/>
    <mergeCell ref="D161:E161"/>
    <mergeCell ref="F161:J161"/>
    <mergeCell ref="B27:J27"/>
    <mergeCell ref="B35:J35"/>
    <mergeCell ref="B45:J45"/>
    <mergeCell ref="B151:J151"/>
    <mergeCell ref="B113:I113"/>
    <mergeCell ref="B107:J107"/>
    <mergeCell ref="B116:I116"/>
    <mergeCell ref="B153:H153"/>
    <mergeCell ref="H137:I137"/>
    <mergeCell ref="B114:J114"/>
    <mergeCell ref="B117:J117"/>
    <mergeCell ref="B126:J126"/>
    <mergeCell ref="B130:J130"/>
    <mergeCell ref="B140:J140"/>
    <mergeCell ref="F157:J158"/>
    <mergeCell ref="D159:E159"/>
    <mergeCell ref="F159:J159"/>
    <mergeCell ref="D160:E160"/>
    <mergeCell ref="F160:J160"/>
    <mergeCell ref="K141:K149"/>
    <mergeCell ref="K131:K136"/>
    <mergeCell ref="B139:I139"/>
    <mergeCell ref="B125:I125"/>
    <mergeCell ref="B129:I129"/>
    <mergeCell ref="B152:I152"/>
    <mergeCell ref="B154:I154"/>
    <mergeCell ref="B34:I34"/>
    <mergeCell ref="B85:I85"/>
    <mergeCell ref="B44:I44"/>
    <mergeCell ref="B80:I80"/>
    <mergeCell ref="B103:I103"/>
    <mergeCell ref="B150:I150"/>
  </mergeCells>
  <phoneticPr fontId="21" type="noConversion"/>
  <pageMargins left="0.25" right="0.25" top="0.55314960629921262" bottom="0.75000000000000011" header="0.30000000000000004" footer="0.30000000000000004"/>
  <pageSetup paperSize="9" scale="58" fitToHeight="2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L720"/>
  <sheetViews>
    <sheetView showGridLines="0" view="pageBreakPreview" topLeftCell="A699" zoomScale="101" zoomScaleSheetLayoutView="84" workbookViewId="0">
      <selection activeCell="B3" sqref="B3:H3"/>
    </sheetView>
  </sheetViews>
  <sheetFormatPr baseColWidth="10" defaultColWidth="8.83203125" defaultRowHeight="14" x14ac:dyDescent="0.2"/>
  <cols>
    <col min="1" max="1" width="8.83203125" style="83"/>
    <col min="2" max="2" width="6.1640625" style="89" customWidth="1"/>
    <col min="3" max="3" width="67.83203125" style="94" customWidth="1"/>
    <col min="4" max="4" width="8.83203125" style="25" customWidth="1"/>
    <col min="5" max="5" width="13.5" style="28" customWidth="1"/>
    <col min="6" max="8" width="13.5" style="25" customWidth="1"/>
    <col min="9" max="16384" width="8.83203125" style="83"/>
  </cols>
  <sheetData>
    <row r="1" spans="2:12" ht="15" thickBot="1" x14ac:dyDescent="0.25"/>
    <row r="2" spans="2:12" x14ac:dyDescent="0.2">
      <c r="B2" s="372" t="s">
        <v>0</v>
      </c>
      <c r="C2" s="373"/>
      <c r="D2" s="373"/>
      <c r="E2" s="373"/>
      <c r="F2" s="373"/>
      <c r="G2" s="373"/>
      <c r="H2" s="374"/>
    </row>
    <row r="3" spans="2:12" x14ac:dyDescent="0.2">
      <c r="B3" s="375" t="s">
        <v>1</v>
      </c>
      <c r="C3" s="376"/>
      <c r="D3" s="376"/>
      <c r="E3" s="376"/>
      <c r="F3" s="376"/>
      <c r="G3" s="376"/>
      <c r="H3" s="377"/>
    </row>
    <row r="4" spans="2:12" ht="15" x14ac:dyDescent="0.2">
      <c r="B4" s="375" t="s">
        <v>2</v>
      </c>
      <c r="C4" s="376"/>
      <c r="D4" s="376"/>
      <c r="E4" s="376"/>
      <c r="F4" s="376"/>
      <c r="G4" s="376"/>
      <c r="H4" s="377"/>
      <c r="I4" s="7"/>
      <c r="J4" s="7"/>
      <c r="K4" s="7"/>
    </row>
    <row r="5" spans="2:12" ht="15" x14ac:dyDescent="0.2">
      <c r="B5" s="375" t="str">
        <f>Orçamento!B5</f>
        <v>REFORMA DO GINÁSIO</v>
      </c>
      <c r="C5" s="376"/>
      <c r="D5" s="376"/>
      <c r="E5" s="376"/>
      <c r="F5" s="376"/>
      <c r="G5" s="376"/>
      <c r="H5" s="377"/>
      <c r="I5" s="7"/>
      <c r="J5" s="7"/>
      <c r="K5" s="7"/>
    </row>
    <row r="6" spans="2:12" ht="15" x14ac:dyDescent="0.2">
      <c r="B6" s="375" t="str">
        <f>Orçamento!B4</f>
        <v>ORÇAMENTO BÁSICO ESTIMADO</v>
      </c>
      <c r="C6" s="376"/>
      <c r="D6" s="376"/>
      <c r="E6" s="376"/>
      <c r="F6" s="376"/>
      <c r="G6" s="376"/>
      <c r="H6" s="377"/>
      <c r="I6" s="7"/>
      <c r="J6" s="7"/>
      <c r="K6" s="7"/>
    </row>
    <row r="7" spans="2:12" ht="15" x14ac:dyDescent="0.2">
      <c r="B7" s="378" t="str">
        <f>Orçamento!B9</f>
        <v>29 DE JANEIRO DE 2018</v>
      </c>
      <c r="C7" s="379"/>
      <c r="D7" s="379"/>
      <c r="E7" s="379"/>
      <c r="F7" s="379"/>
      <c r="G7" s="379"/>
      <c r="H7" s="380"/>
      <c r="I7" s="7"/>
      <c r="J7" s="7"/>
      <c r="K7" s="7"/>
    </row>
    <row r="8" spans="2:12" ht="13.5" customHeight="1" x14ac:dyDescent="0.2">
      <c r="B8" s="304" t="str">
        <f>Cronograma!B8</f>
        <v>Tabela 128 - Custo Obras Civis - Novembro/2017 - Desonerada</v>
      </c>
      <c r="C8" s="305"/>
      <c r="D8" s="305"/>
      <c r="E8" s="305"/>
      <c r="F8" s="305"/>
      <c r="G8" s="305"/>
      <c r="H8" s="306"/>
      <c r="I8" s="7"/>
      <c r="J8" s="7"/>
      <c r="K8" s="7"/>
    </row>
    <row r="9" spans="2:12" ht="11.25" customHeight="1" thickBot="1" x14ac:dyDescent="0.25">
      <c r="B9" s="381" t="s">
        <v>282</v>
      </c>
      <c r="C9" s="382"/>
      <c r="D9" s="382"/>
      <c r="E9" s="382"/>
      <c r="F9" s="382"/>
      <c r="G9" s="382"/>
      <c r="H9" s="383"/>
      <c r="I9" s="7"/>
      <c r="J9" s="7"/>
      <c r="K9" s="7"/>
    </row>
    <row r="10" spans="2:12" s="96" customFormat="1" ht="16" thickBot="1" x14ac:dyDescent="0.25">
      <c r="B10" s="237" t="s">
        <v>3</v>
      </c>
      <c r="C10" s="208" t="s">
        <v>4</v>
      </c>
      <c r="D10" s="238" t="s">
        <v>5</v>
      </c>
      <c r="E10" s="384" t="s">
        <v>6</v>
      </c>
      <c r="F10" s="385"/>
      <c r="G10" s="386"/>
      <c r="H10" s="387"/>
      <c r="I10" s="67"/>
      <c r="J10" s="67"/>
      <c r="K10" s="67"/>
    </row>
    <row r="11" spans="2:12" ht="16" thickBot="1" x14ac:dyDescent="0.25">
      <c r="B11" s="369" t="s">
        <v>7</v>
      </c>
      <c r="C11" s="370"/>
      <c r="D11" s="370"/>
      <c r="E11" s="370"/>
      <c r="F11" s="370"/>
      <c r="G11" s="370"/>
      <c r="H11" s="371"/>
      <c r="I11" s="7"/>
      <c r="J11" s="7"/>
      <c r="K11" s="7"/>
      <c r="L11" s="7"/>
    </row>
    <row r="12" spans="2:12" s="96" customFormat="1" ht="15" x14ac:dyDescent="0.2">
      <c r="B12" s="92" t="s">
        <v>77</v>
      </c>
      <c r="C12" s="95" t="str">
        <f>Orçamento!E12</f>
        <v xml:space="preserve">DEMOLICAO COBERTURA TELHA CERAMICA C/ TRANSP. ATÉ CB. E CARGA </v>
      </c>
      <c r="D12" s="92" t="s">
        <v>8</v>
      </c>
      <c r="E12" s="354" t="s">
        <v>74</v>
      </c>
      <c r="F12" s="354"/>
      <c r="G12" s="92" t="s">
        <v>75</v>
      </c>
      <c r="H12" s="92" t="s">
        <v>76</v>
      </c>
      <c r="I12" s="67"/>
      <c r="J12" s="67"/>
      <c r="K12" s="67"/>
      <c r="L12" s="67"/>
    </row>
    <row r="13" spans="2:12" ht="15" x14ac:dyDescent="0.2">
      <c r="B13" s="98" t="s">
        <v>333</v>
      </c>
      <c r="C13" s="99" t="s">
        <v>72</v>
      </c>
      <c r="D13" s="100"/>
      <c r="E13" s="360">
        <v>3.35</v>
      </c>
      <c r="F13" s="360"/>
      <c r="G13" s="100">
        <v>1.95</v>
      </c>
      <c r="H13" s="100">
        <f>G13*E13</f>
        <v>6.5324999999999998</v>
      </c>
      <c r="I13" s="7"/>
      <c r="J13" s="7"/>
      <c r="K13" s="7"/>
      <c r="L13" s="7"/>
    </row>
    <row r="14" spans="2:12" ht="15" x14ac:dyDescent="0.2">
      <c r="B14" s="98" t="s">
        <v>334</v>
      </c>
      <c r="C14" s="99" t="s">
        <v>73</v>
      </c>
      <c r="D14" s="100"/>
      <c r="E14" s="360">
        <v>3.35</v>
      </c>
      <c r="F14" s="360"/>
      <c r="G14" s="100">
        <v>2</v>
      </c>
      <c r="H14" s="100">
        <f>E14*G14</f>
        <v>6.7</v>
      </c>
      <c r="I14" s="7"/>
      <c r="J14" s="7"/>
      <c r="K14" s="7"/>
      <c r="L14" s="7"/>
    </row>
    <row r="15" spans="2:12" ht="15" x14ac:dyDescent="0.2">
      <c r="B15" s="314" t="s">
        <v>10</v>
      </c>
      <c r="C15" s="315"/>
      <c r="D15" s="315"/>
      <c r="E15" s="315"/>
      <c r="F15" s="315"/>
      <c r="G15" s="316"/>
      <c r="H15" s="85">
        <f>SUM(H13+H14)</f>
        <v>13.2325</v>
      </c>
      <c r="I15" s="7"/>
      <c r="J15" s="7"/>
      <c r="K15" s="7"/>
      <c r="L15" s="7"/>
    </row>
    <row r="16" spans="2:12" s="96" customFormat="1" ht="15" x14ac:dyDescent="0.2">
      <c r="B16" s="92" t="s">
        <v>78</v>
      </c>
      <c r="C16" s="95" t="str">
        <f>Orçamento!E13</f>
        <v xml:space="preserve">DEMOLIÇÃO ESTRUTURA EM MADEIRA TELHADO C/ TRANSP. ATÉ CB. E CARGA </v>
      </c>
      <c r="D16" s="92" t="s">
        <v>24</v>
      </c>
      <c r="E16" s="354" t="s">
        <v>74</v>
      </c>
      <c r="F16" s="354"/>
      <c r="G16" s="92" t="s">
        <v>75</v>
      </c>
      <c r="H16" s="92" t="s">
        <v>76</v>
      </c>
      <c r="I16" s="67"/>
      <c r="J16" s="67"/>
      <c r="K16" s="67"/>
      <c r="L16" s="67"/>
    </row>
    <row r="17" spans="2:8" x14ac:dyDescent="0.2">
      <c r="B17" s="98" t="s">
        <v>335</v>
      </c>
      <c r="C17" s="99" t="s">
        <v>72</v>
      </c>
      <c r="D17" s="100"/>
      <c r="E17" s="360">
        <v>3.35</v>
      </c>
      <c r="F17" s="360"/>
      <c r="G17" s="100">
        <v>1.95</v>
      </c>
      <c r="H17" s="100">
        <f>G17*E17</f>
        <v>6.5324999999999998</v>
      </c>
    </row>
    <row r="18" spans="2:8" x14ac:dyDescent="0.2">
      <c r="B18" s="98" t="s">
        <v>336</v>
      </c>
      <c r="C18" s="99" t="s">
        <v>73</v>
      </c>
      <c r="D18" s="100"/>
      <c r="E18" s="360">
        <v>3.35</v>
      </c>
      <c r="F18" s="360"/>
      <c r="G18" s="100">
        <v>2</v>
      </c>
      <c r="H18" s="100">
        <f>E18*G18</f>
        <v>6.7</v>
      </c>
    </row>
    <row r="19" spans="2:8" x14ac:dyDescent="0.2">
      <c r="B19" s="314" t="s">
        <v>10</v>
      </c>
      <c r="C19" s="315"/>
      <c r="D19" s="315"/>
      <c r="E19" s="315"/>
      <c r="F19" s="315"/>
      <c r="G19" s="316"/>
      <c r="H19" s="85">
        <f>SUM(H17+H18)</f>
        <v>13.2325</v>
      </c>
    </row>
    <row r="20" spans="2:8" s="96" customFormat="1" x14ac:dyDescent="0.2">
      <c r="B20" s="92" t="s">
        <v>86</v>
      </c>
      <c r="C20" s="95" t="str">
        <f>Orçamento!E14</f>
        <v xml:space="preserve">RETIRADA DE JANELAS OU PORTAIS C/ TRANSP. ATÉ CB. E CARGA </v>
      </c>
      <c r="D20" s="92" t="s">
        <v>24</v>
      </c>
      <c r="E20" s="326" t="s">
        <v>75</v>
      </c>
      <c r="F20" s="327"/>
      <c r="G20" s="92" t="s">
        <v>79</v>
      </c>
      <c r="H20" s="92" t="s">
        <v>76</v>
      </c>
    </row>
    <row r="21" spans="2:8" x14ac:dyDescent="0.2">
      <c r="B21" s="98" t="s">
        <v>325</v>
      </c>
      <c r="C21" s="99" t="s">
        <v>81</v>
      </c>
      <c r="D21" s="100"/>
      <c r="E21" s="360">
        <v>0.6</v>
      </c>
      <c r="F21" s="360"/>
      <c r="G21" s="100">
        <v>0.6</v>
      </c>
      <c r="H21" s="100">
        <f>G21*E21</f>
        <v>0.36</v>
      </c>
    </row>
    <row r="22" spans="2:8" x14ac:dyDescent="0.2">
      <c r="B22" s="98" t="s">
        <v>337</v>
      </c>
      <c r="C22" s="99" t="s">
        <v>80</v>
      </c>
      <c r="D22" s="100"/>
      <c r="E22" s="360">
        <v>1</v>
      </c>
      <c r="F22" s="360"/>
      <c r="G22" s="100">
        <v>0.5</v>
      </c>
      <c r="H22" s="100">
        <f>E22*G22</f>
        <v>0.5</v>
      </c>
    </row>
    <row r="23" spans="2:8" x14ac:dyDescent="0.2">
      <c r="B23" s="98" t="s">
        <v>338</v>
      </c>
      <c r="C23" s="99" t="s">
        <v>103</v>
      </c>
      <c r="D23" s="100"/>
      <c r="E23" s="323">
        <v>0.8</v>
      </c>
      <c r="F23" s="325"/>
      <c r="G23" s="100">
        <v>2.1</v>
      </c>
      <c r="H23" s="100">
        <f>E23*G23</f>
        <v>1.6800000000000002</v>
      </c>
    </row>
    <row r="24" spans="2:8" x14ac:dyDescent="0.2">
      <c r="B24" s="98" t="s">
        <v>725</v>
      </c>
      <c r="C24" s="246" t="s">
        <v>726</v>
      </c>
      <c r="D24" s="218"/>
      <c r="E24" s="323">
        <v>0.8</v>
      </c>
      <c r="F24" s="325"/>
      <c r="G24" s="218">
        <v>2.1</v>
      </c>
      <c r="H24" s="218">
        <f>E24*G24*2</f>
        <v>3.3600000000000003</v>
      </c>
    </row>
    <row r="25" spans="2:8" x14ac:dyDescent="0.2">
      <c r="B25" s="314" t="s">
        <v>10</v>
      </c>
      <c r="C25" s="315"/>
      <c r="D25" s="315"/>
      <c r="E25" s="315"/>
      <c r="F25" s="315"/>
      <c r="G25" s="316"/>
      <c r="H25" s="85">
        <f>SUM(H21:H24)</f>
        <v>5.9</v>
      </c>
    </row>
    <row r="26" spans="2:8" s="96" customFormat="1" x14ac:dyDescent="0.2">
      <c r="B26" s="219" t="s">
        <v>87</v>
      </c>
      <c r="C26" s="95" t="str">
        <f>Orçamento!E15</f>
        <v>DEM.PISO CERAM.SOBRE LASTRO CONC.C/TR.CB.E CARGA</v>
      </c>
      <c r="D26" s="219" t="s">
        <v>24</v>
      </c>
      <c r="E26" s="326" t="s">
        <v>75</v>
      </c>
      <c r="F26" s="327"/>
      <c r="G26" s="219" t="s">
        <v>74</v>
      </c>
      <c r="H26" s="219" t="s">
        <v>76</v>
      </c>
    </row>
    <row r="27" spans="2:8" x14ac:dyDescent="0.2">
      <c r="B27" s="240" t="s">
        <v>339</v>
      </c>
      <c r="C27" s="99" t="s">
        <v>81</v>
      </c>
      <c r="D27" s="218"/>
      <c r="E27" s="323">
        <v>0.8</v>
      </c>
      <c r="F27" s="325"/>
      <c r="G27" s="218">
        <v>1.8</v>
      </c>
      <c r="H27" s="218">
        <f>E27*G27</f>
        <v>1.4400000000000002</v>
      </c>
    </row>
    <row r="28" spans="2:8" x14ac:dyDescent="0.2">
      <c r="B28" s="314" t="s">
        <v>10</v>
      </c>
      <c r="C28" s="315"/>
      <c r="D28" s="315"/>
      <c r="E28" s="315"/>
      <c r="F28" s="315"/>
      <c r="G28" s="316"/>
      <c r="H28" s="221">
        <f>H27</f>
        <v>1.4400000000000002</v>
      </c>
    </row>
    <row r="29" spans="2:8" s="96" customFormat="1" x14ac:dyDescent="0.2">
      <c r="B29" s="92" t="s">
        <v>130</v>
      </c>
      <c r="C29" s="95" t="str">
        <f>Orçamento!E16</f>
        <v xml:space="preserve">DEM.ALVEN.TIJOLO S/REAP. C/TR.ATE CB. E CARGA </v>
      </c>
      <c r="D29" s="92" t="s">
        <v>83</v>
      </c>
      <c r="E29" s="92" t="s">
        <v>74</v>
      </c>
      <c r="F29" s="92" t="s">
        <v>109</v>
      </c>
      <c r="G29" s="92" t="s">
        <v>110</v>
      </c>
      <c r="H29" s="92" t="s">
        <v>85</v>
      </c>
    </row>
    <row r="30" spans="2:8" x14ac:dyDescent="0.2">
      <c r="B30" s="240" t="s">
        <v>340</v>
      </c>
      <c r="C30" s="99" t="s">
        <v>84</v>
      </c>
      <c r="D30" s="100"/>
      <c r="E30" s="100">
        <v>5.85</v>
      </c>
      <c r="F30" s="100">
        <v>0.9</v>
      </c>
      <c r="G30" s="100">
        <v>0.5</v>
      </c>
      <c r="H30" s="100">
        <f>G30*F30*E30</f>
        <v>2.6324999999999998</v>
      </c>
    </row>
    <row r="31" spans="2:8" x14ac:dyDescent="0.2">
      <c r="B31" s="240" t="s">
        <v>680</v>
      </c>
      <c r="C31" s="99" t="s">
        <v>84</v>
      </c>
      <c r="D31" s="100"/>
      <c r="E31" s="100">
        <v>2.15</v>
      </c>
      <c r="F31" s="101">
        <v>0.6</v>
      </c>
      <c r="G31" s="100">
        <v>0.5</v>
      </c>
      <c r="H31" s="100">
        <f t="shared" ref="H31:H33" si="0">G31*F31*E31</f>
        <v>0.64499999999999991</v>
      </c>
    </row>
    <row r="32" spans="2:8" x14ac:dyDescent="0.2">
      <c r="B32" s="240" t="s">
        <v>681</v>
      </c>
      <c r="C32" s="99" t="s">
        <v>84</v>
      </c>
      <c r="D32" s="100"/>
      <c r="E32" s="100">
        <v>2.15</v>
      </c>
      <c r="F32" s="101">
        <v>0.6</v>
      </c>
      <c r="G32" s="100">
        <v>0.5</v>
      </c>
      <c r="H32" s="100">
        <f t="shared" si="0"/>
        <v>0.64499999999999991</v>
      </c>
    </row>
    <row r="33" spans="2:8" x14ac:dyDescent="0.2">
      <c r="B33" s="240" t="s">
        <v>682</v>
      </c>
      <c r="C33" s="99" t="s">
        <v>84</v>
      </c>
      <c r="D33" s="100"/>
      <c r="E33" s="100">
        <v>2.15</v>
      </c>
      <c r="F33" s="101">
        <v>0.7</v>
      </c>
      <c r="G33" s="100">
        <v>0.5</v>
      </c>
      <c r="H33" s="100">
        <f t="shared" si="0"/>
        <v>0.75249999999999995</v>
      </c>
    </row>
    <row r="34" spans="2:8" x14ac:dyDescent="0.2">
      <c r="B34" s="240" t="s">
        <v>683</v>
      </c>
      <c r="C34" s="102" t="s">
        <v>89</v>
      </c>
      <c r="D34" s="100"/>
      <c r="E34" s="323">
        <f>2*117.5</f>
        <v>235</v>
      </c>
      <c r="F34" s="325"/>
      <c r="G34" s="100">
        <v>0.3</v>
      </c>
      <c r="H34" s="100">
        <f>G34*E34</f>
        <v>70.5</v>
      </c>
    </row>
    <row r="35" spans="2:8" x14ac:dyDescent="0.2">
      <c r="B35" s="240" t="s">
        <v>684</v>
      </c>
      <c r="C35" s="99" t="s">
        <v>93</v>
      </c>
      <c r="D35" s="100"/>
      <c r="E35" s="100">
        <v>2.1</v>
      </c>
      <c r="F35" s="100">
        <v>0.8</v>
      </c>
      <c r="G35" s="100">
        <v>0.15</v>
      </c>
      <c r="H35" s="100">
        <f>E35*F35*G35</f>
        <v>0.252</v>
      </c>
    </row>
    <row r="36" spans="2:8" x14ac:dyDescent="0.2">
      <c r="B36" s="240" t="s">
        <v>685</v>
      </c>
      <c r="C36" s="99" t="s">
        <v>94</v>
      </c>
      <c r="D36" s="100"/>
      <c r="E36" s="100">
        <v>2.1</v>
      </c>
      <c r="F36" s="100">
        <v>0.8</v>
      </c>
      <c r="G36" s="100">
        <v>0.15</v>
      </c>
      <c r="H36" s="100">
        <f>E36*F36*G36</f>
        <v>0.252</v>
      </c>
    </row>
    <row r="37" spans="2:8" x14ac:dyDescent="0.2">
      <c r="B37" s="240" t="s">
        <v>686</v>
      </c>
      <c r="C37" s="99" t="s">
        <v>108</v>
      </c>
      <c r="D37" s="100"/>
      <c r="E37" s="100">
        <v>0.3</v>
      </c>
      <c r="F37" s="100">
        <v>0.3</v>
      </c>
      <c r="G37" s="100">
        <v>0.3</v>
      </c>
      <c r="H37" s="100">
        <f>E37*F37*G37</f>
        <v>2.7E-2</v>
      </c>
    </row>
    <row r="38" spans="2:8" x14ac:dyDescent="0.2">
      <c r="B38" s="240" t="s">
        <v>687</v>
      </c>
      <c r="C38" s="99" t="s">
        <v>111</v>
      </c>
      <c r="D38" s="100"/>
      <c r="E38" s="100">
        <v>0.6</v>
      </c>
      <c r="F38" s="100">
        <v>0.6</v>
      </c>
      <c r="G38" s="100">
        <v>0.15</v>
      </c>
      <c r="H38" s="100">
        <f t="shared" ref="H38:H42" si="1">E38*F38*G38</f>
        <v>5.3999999999999999E-2</v>
      </c>
    </row>
    <row r="39" spans="2:8" x14ac:dyDescent="0.2">
      <c r="B39" s="240" t="s">
        <v>688</v>
      </c>
      <c r="C39" s="99" t="s">
        <v>111</v>
      </c>
      <c r="D39" s="100"/>
      <c r="E39" s="100">
        <v>0.6</v>
      </c>
      <c r="F39" s="100">
        <v>0.6</v>
      </c>
      <c r="G39" s="100">
        <v>0.15</v>
      </c>
      <c r="H39" s="100">
        <f t="shared" si="1"/>
        <v>5.3999999999999999E-2</v>
      </c>
    </row>
    <row r="40" spans="2:8" x14ac:dyDescent="0.2">
      <c r="B40" s="240" t="s">
        <v>689</v>
      </c>
      <c r="C40" s="99" t="s">
        <v>195</v>
      </c>
      <c r="D40" s="100"/>
      <c r="E40" s="100">
        <v>1.4</v>
      </c>
      <c r="F40" s="100">
        <v>1.8</v>
      </c>
      <c r="G40" s="100">
        <v>0.15</v>
      </c>
      <c r="H40" s="100">
        <f t="shared" si="1"/>
        <v>0.378</v>
      </c>
    </row>
    <row r="41" spans="2:8" x14ac:dyDescent="0.2">
      <c r="B41" s="240" t="s">
        <v>690</v>
      </c>
      <c r="C41" s="245" t="s">
        <v>112</v>
      </c>
      <c r="D41" s="100"/>
      <c r="E41" s="100">
        <v>0.6</v>
      </c>
      <c r="F41" s="100">
        <v>0.6</v>
      </c>
      <c r="G41" s="100">
        <v>0.3</v>
      </c>
      <c r="H41" s="100">
        <f t="shared" si="1"/>
        <v>0.108</v>
      </c>
    </row>
    <row r="42" spans="2:8" x14ac:dyDescent="0.2">
      <c r="B42" s="240" t="s">
        <v>691</v>
      </c>
      <c r="C42" s="99" t="s">
        <v>113</v>
      </c>
      <c r="D42" s="100"/>
      <c r="E42" s="100">
        <v>1.5</v>
      </c>
      <c r="F42" s="100">
        <v>0.5</v>
      </c>
      <c r="G42" s="100">
        <v>0.3</v>
      </c>
      <c r="H42" s="100">
        <f t="shared" si="1"/>
        <v>0.22499999999999998</v>
      </c>
    </row>
    <row r="43" spans="2:8" x14ac:dyDescent="0.2">
      <c r="B43" s="314" t="s">
        <v>10</v>
      </c>
      <c r="C43" s="315"/>
      <c r="D43" s="315"/>
      <c r="E43" s="315"/>
      <c r="F43" s="315"/>
      <c r="G43" s="316"/>
      <c r="H43" s="85">
        <f>SUM(H30:H42)</f>
        <v>76.524999999999991</v>
      </c>
    </row>
    <row r="44" spans="2:8" s="96" customFormat="1" x14ac:dyDescent="0.2">
      <c r="B44" s="92" t="s">
        <v>131</v>
      </c>
      <c r="C44" s="95" t="str">
        <f>Orçamento!E17</f>
        <v xml:space="preserve">DEM. MANUAL EM CONCR.SIMPLES C/TR.ATE CB.E CARGA (O.C.) </v>
      </c>
      <c r="D44" s="92" t="s">
        <v>83</v>
      </c>
      <c r="E44" s="92" t="s">
        <v>74</v>
      </c>
      <c r="F44" s="92" t="s">
        <v>75</v>
      </c>
      <c r="G44" s="92" t="s">
        <v>79</v>
      </c>
      <c r="H44" s="92" t="s">
        <v>85</v>
      </c>
    </row>
    <row r="45" spans="2:8" x14ac:dyDescent="0.2">
      <c r="B45" s="240" t="s">
        <v>341</v>
      </c>
      <c r="C45" s="99" t="s">
        <v>105</v>
      </c>
      <c r="D45" s="100"/>
      <c r="E45" s="100">
        <v>36</v>
      </c>
      <c r="F45" s="100">
        <v>20.8</v>
      </c>
      <c r="G45" s="103">
        <v>7.0000000000000007E-2</v>
      </c>
      <c r="H45" s="100">
        <f>G45*F45*E45</f>
        <v>52.416000000000004</v>
      </c>
    </row>
    <row r="46" spans="2:8" x14ac:dyDescent="0.2">
      <c r="B46" s="314" t="s">
        <v>10</v>
      </c>
      <c r="C46" s="315"/>
      <c r="D46" s="315"/>
      <c r="E46" s="315"/>
      <c r="F46" s="315"/>
      <c r="G46" s="316"/>
      <c r="H46" s="85">
        <f>SUM(H44:H45)</f>
        <v>52.416000000000004</v>
      </c>
    </row>
    <row r="47" spans="2:8" s="96" customFormat="1" x14ac:dyDescent="0.2">
      <c r="B47" s="92" t="s">
        <v>132</v>
      </c>
      <c r="C47" s="95" t="str">
        <f>Orçamento!E18</f>
        <v xml:space="preserve">DEM. MEIO FIO SEM REAPROV.C/TR.ATE C B E CARGA </v>
      </c>
      <c r="D47" s="92" t="s">
        <v>98</v>
      </c>
      <c r="E47" s="326"/>
      <c r="F47" s="356"/>
      <c r="G47" s="356"/>
      <c r="H47" s="327"/>
    </row>
    <row r="48" spans="2:8" x14ac:dyDescent="0.2">
      <c r="B48" s="240" t="s">
        <v>342</v>
      </c>
      <c r="C48" s="104" t="s">
        <v>99</v>
      </c>
      <c r="D48" s="100"/>
      <c r="E48" s="323" t="s">
        <v>100</v>
      </c>
      <c r="F48" s="324"/>
      <c r="G48" s="325"/>
      <c r="H48" s="100">
        <f>3.05+1.85</f>
        <v>4.9000000000000004</v>
      </c>
    </row>
    <row r="49" spans="2:8" x14ac:dyDescent="0.2">
      <c r="B49" s="314" t="s">
        <v>10</v>
      </c>
      <c r="C49" s="315"/>
      <c r="D49" s="315"/>
      <c r="E49" s="315"/>
      <c r="F49" s="315"/>
      <c r="G49" s="316"/>
      <c r="H49" s="85">
        <f>SUM(H47:H48)</f>
        <v>4.9000000000000004</v>
      </c>
    </row>
    <row r="50" spans="2:8" s="96" customFormat="1" x14ac:dyDescent="0.2">
      <c r="B50" s="92" t="s">
        <v>133</v>
      </c>
      <c r="C50" s="95" t="str">
        <f>Orçamento!E19</f>
        <v xml:space="preserve">DEMOLIÇAO DE BACIA TURCA C/ TRANSP. ATÉ CB. E CARGA </v>
      </c>
      <c r="D50" s="92" t="s">
        <v>119</v>
      </c>
      <c r="E50" s="326"/>
      <c r="F50" s="356"/>
      <c r="G50" s="356"/>
      <c r="H50" s="327"/>
    </row>
    <row r="51" spans="2:8" x14ac:dyDescent="0.2">
      <c r="B51" s="240" t="s">
        <v>343</v>
      </c>
      <c r="C51" s="99" t="s">
        <v>81</v>
      </c>
      <c r="D51" s="100"/>
      <c r="E51" s="311">
        <v>1</v>
      </c>
      <c r="F51" s="312"/>
      <c r="G51" s="312"/>
      <c r="H51" s="313"/>
    </row>
    <row r="52" spans="2:8" x14ac:dyDescent="0.2">
      <c r="B52" s="314" t="s">
        <v>10</v>
      </c>
      <c r="C52" s="315"/>
      <c r="D52" s="315"/>
      <c r="E52" s="315"/>
      <c r="F52" s="315"/>
      <c r="G52" s="316"/>
      <c r="H52" s="117">
        <f>E51</f>
        <v>1</v>
      </c>
    </row>
    <row r="53" spans="2:8" s="96" customFormat="1" x14ac:dyDescent="0.2">
      <c r="B53" s="92" t="s">
        <v>134</v>
      </c>
      <c r="C53" s="95" t="str">
        <f>Orçamento!E20</f>
        <v xml:space="preserve">DEMOLIÇÃO DE MICTÓRIO C/ TRANSP. ATÉ CB. E CARGA </v>
      </c>
      <c r="D53" s="92" t="s">
        <v>119</v>
      </c>
      <c r="E53" s="326"/>
      <c r="F53" s="356"/>
      <c r="G53" s="356"/>
      <c r="H53" s="327"/>
    </row>
    <row r="54" spans="2:8" x14ac:dyDescent="0.2">
      <c r="B54" s="240" t="s">
        <v>344</v>
      </c>
      <c r="C54" s="99" t="s">
        <v>92</v>
      </c>
      <c r="D54" s="100"/>
      <c r="E54" s="311">
        <v>2</v>
      </c>
      <c r="F54" s="312"/>
      <c r="G54" s="312"/>
      <c r="H54" s="313"/>
    </row>
    <row r="55" spans="2:8" x14ac:dyDescent="0.2">
      <c r="B55" s="314" t="s">
        <v>10</v>
      </c>
      <c r="C55" s="315"/>
      <c r="D55" s="315"/>
      <c r="E55" s="315"/>
      <c r="F55" s="315"/>
      <c r="G55" s="316"/>
      <c r="H55" s="117">
        <f>E54</f>
        <v>2</v>
      </c>
    </row>
    <row r="56" spans="2:8" s="96" customFormat="1" ht="28" x14ac:dyDescent="0.2">
      <c r="B56" s="92" t="s">
        <v>135</v>
      </c>
      <c r="C56" s="97" t="str">
        <f>Orçamento!E21</f>
        <v>DEMOLIÇÃO DE FORRO PVC INCLUSIVE ESTRUTURA DE SUSTENTAÇÃO C/ TRANSP. ATÉ CB. E CARGA</v>
      </c>
      <c r="D56" s="92" t="s">
        <v>24</v>
      </c>
      <c r="E56" s="354" t="s">
        <v>74</v>
      </c>
      <c r="F56" s="354"/>
      <c r="G56" s="92" t="s">
        <v>75</v>
      </c>
      <c r="H56" s="92" t="s">
        <v>76</v>
      </c>
    </row>
    <row r="57" spans="2:8" ht="15" customHeight="1" x14ac:dyDescent="0.2">
      <c r="B57" s="240" t="s">
        <v>692</v>
      </c>
      <c r="C57" s="99" t="s">
        <v>72</v>
      </c>
      <c r="D57" s="100"/>
      <c r="E57" s="360">
        <v>3.35</v>
      </c>
      <c r="F57" s="360"/>
      <c r="G57" s="100">
        <v>1.95</v>
      </c>
      <c r="H57" s="100">
        <f>G57*E57</f>
        <v>6.5324999999999998</v>
      </c>
    </row>
    <row r="58" spans="2:8" x14ac:dyDescent="0.2">
      <c r="B58" s="240" t="s">
        <v>693</v>
      </c>
      <c r="C58" s="99" t="s">
        <v>73</v>
      </c>
      <c r="D58" s="100"/>
      <c r="E58" s="360">
        <v>3.35</v>
      </c>
      <c r="F58" s="360"/>
      <c r="G58" s="100">
        <v>2</v>
      </c>
      <c r="H58" s="100">
        <f>E58*G58</f>
        <v>6.7</v>
      </c>
    </row>
    <row r="59" spans="2:8" x14ac:dyDescent="0.2">
      <c r="B59" s="314" t="s">
        <v>10</v>
      </c>
      <c r="C59" s="315"/>
      <c r="D59" s="315"/>
      <c r="E59" s="315"/>
      <c r="F59" s="315"/>
      <c r="G59" s="316"/>
      <c r="H59" s="85">
        <f>SUM(H57+H58)</f>
        <v>13.2325</v>
      </c>
    </row>
    <row r="60" spans="2:8" s="96" customFormat="1" ht="28" x14ac:dyDescent="0.2">
      <c r="B60" s="118" t="s">
        <v>135</v>
      </c>
      <c r="C60" s="97" t="str">
        <f>Orçamento!E22</f>
        <v xml:space="preserve">PLACA DE OBRA EM CHAPA METÁLICA 26 COM PINTURA, AFIXADA EM CAVALETES DE MADEIRA DE LEI (VIGOTAS 6X12CM) - PADRÃO AGETOP </v>
      </c>
      <c r="D60" s="118" t="s">
        <v>8</v>
      </c>
      <c r="E60" s="354" t="s">
        <v>74</v>
      </c>
      <c r="F60" s="354"/>
      <c r="G60" s="92" t="s">
        <v>79</v>
      </c>
      <c r="H60" s="92" t="s">
        <v>76</v>
      </c>
    </row>
    <row r="61" spans="2:8" x14ac:dyDescent="0.2">
      <c r="B61" s="241" t="s">
        <v>692</v>
      </c>
      <c r="C61" s="106" t="s">
        <v>345</v>
      </c>
      <c r="D61" s="105"/>
      <c r="E61" s="335">
        <v>2</v>
      </c>
      <c r="F61" s="337"/>
      <c r="G61" s="105">
        <v>1.5</v>
      </c>
      <c r="H61" s="105">
        <f>G61*E61</f>
        <v>3</v>
      </c>
    </row>
    <row r="62" spans="2:8" ht="15" thickBot="1" x14ac:dyDescent="0.25">
      <c r="B62" s="366" t="s">
        <v>10</v>
      </c>
      <c r="C62" s="367"/>
      <c r="D62" s="367"/>
      <c r="E62" s="367"/>
      <c r="F62" s="367"/>
      <c r="G62" s="368"/>
      <c r="H62" s="87">
        <f>SUM(H61)</f>
        <v>3</v>
      </c>
    </row>
    <row r="63" spans="2:8" ht="15" thickBot="1" x14ac:dyDescent="0.25">
      <c r="B63" s="388" t="s">
        <v>11</v>
      </c>
      <c r="C63" s="389"/>
      <c r="D63" s="389"/>
      <c r="E63" s="389"/>
      <c r="F63" s="389"/>
      <c r="G63" s="389"/>
      <c r="H63" s="390"/>
    </row>
    <row r="64" spans="2:8" s="96" customFormat="1" x14ac:dyDescent="0.2">
      <c r="B64" s="119" t="s">
        <v>12</v>
      </c>
      <c r="C64" s="120" t="str">
        <f>Orçamento!E25</f>
        <v xml:space="preserve">TRANSPORTE DE ENTULHO EM CAÇAMBA ESTACIONÁRIA INCLUSO A CARGA MANUAL </v>
      </c>
      <c r="D64" s="88" t="s">
        <v>49</v>
      </c>
      <c r="E64" s="391" t="s">
        <v>76</v>
      </c>
      <c r="F64" s="391"/>
      <c r="G64" s="119" t="s">
        <v>101</v>
      </c>
      <c r="H64" s="119" t="s">
        <v>85</v>
      </c>
    </row>
    <row r="65" spans="2:8" x14ac:dyDescent="0.2">
      <c r="B65" s="33" t="s">
        <v>346</v>
      </c>
      <c r="C65" s="99" t="s">
        <v>198</v>
      </c>
      <c r="D65" s="12"/>
      <c r="E65" s="328">
        <f>H15</f>
        <v>13.2325</v>
      </c>
      <c r="F65" s="392"/>
      <c r="G65" s="37">
        <v>0.01</v>
      </c>
      <c r="H65" s="37">
        <f>G65*E65</f>
        <v>0.132325</v>
      </c>
    </row>
    <row r="66" spans="2:8" x14ac:dyDescent="0.2">
      <c r="B66" s="33" t="s">
        <v>347</v>
      </c>
      <c r="C66" s="99" t="s">
        <v>114</v>
      </c>
      <c r="D66" s="12"/>
      <c r="E66" s="328">
        <f>H19</f>
        <v>13.2325</v>
      </c>
      <c r="F66" s="392"/>
      <c r="G66" s="37">
        <v>0.15</v>
      </c>
      <c r="H66" s="37">
        <f t="shared" ref="H66:H67" si="2">G66*E66</f>
        <v>1.9848749999999999</v>
      </c>
    </row>
    <row r="67" spans="2:8" x14ac:dyDescent="0.2">
      <c r="B67" s="33" t="s">
        <v>348</v>
      </c>
      <c r="C67" s="99" t="s">
        <v>115</v>
      </c>
      <c r="D67" s="12"/>
      <c r="E67" s="328">
        <f>H25</f>
        <v>5.9</v>
      </c>
      <c r="F67" s="392"/>
      <c r="G67" s="37">
        <v>0.15</v>
      </c>
      <c r="H67" s="37">
        <f t="shared" si="2"/>
        <v>0.88500000000000001</v>
      </c>
    </row>
    <row r="68" spans="2:8" x14ac:dyDescent="0.2">
      <c r="B68" s="33" t="s">
        <v>349</v>
      </c>
      <c r="C68" s="99" t="s">
        <v>116</v>
      </c>
      <c r="D68" s="12"/>
      <c r="E68" s="328"/>
      <c r="F68" s="392"/>
      <c r="G68" s="37"/>
      <c r="H68" s="37">
        <f>H43</f>
        <v>76.524999999999991</v>
      </c>
    </row>
    <row r="69" spans="2:8" x14ac:dyDescent="0.2">
      <c r="B69" s="33" t="s">
        <v>350</v>
      </c>
      <c r="C69" s="99" t="s">
        <v>117</v>
      </c>
      <c r="D69" s="12"/>
      <c r="E69" s="328"/>
      <c r="F69" s="392"/>
      <c r="G69" s="37"/>
      <c r="H69" s="37">
        <f>H46</f>
        <v>52.416000000000004</v>
      </c>
    </row>
    <row r="70" spans="2:8" x14ac:dyDescent="0.2">
      <c r="B70" s="33" t="s">
        <v>351</v>
      </c>
      <c r="C70" s="99" t="s">
        <v>209</v>
      </c>
      <c r="D70" s="12"/>
      <c r="E70" s="328" t="s">
        <v>102</v>
      </c>
      <c r="F70" s="392"/>
      <c r="G70" s="37">
        <v>0.15</v>
      </c>
      <c r="H70" s="37">
        <f>G70*(4.9*0.15)</f>
        <v>0.11025</v>
      </c>
    </row>
    <row r="71" spans="2:8" x14ac:dyDescent="0.2">
      <c r="B71" s="33" t="s">
        <v>352</v>
      </c>
      <c r="C71" s="106" t="s">
        <v>118</v>
      </c>
      <c r="D71" s="12"/>
      <c r="E71" s="328">
        <f>H59</f>
        <v>13.2325</v>
      </c>
      <c r="F71" s="392"/>
      <c r="G71" s="37">
        <v>0.01</v>
      </c>
      <c r="H71" s="37">
        <f>E71*G71</f>
        <v>0.132325</v>
      </c>
    </row>
    <row r="72" spans="2:8" ht="15" thickBot="1" x14ac:dyDescent="0.25">
      <c r="B72" s="317" t="s">
        <v>10</v>
      </c>
      <c r="C72" s="318"/>
      <c r="D72" s="318"/>
      <c r="E72" s="318"/>
      <c r="F72" s="318"/>
      <c r="G72" s="319"/>
      <c r="H72" s="84">
        <f>SUM(H65:H71)</f>
        <v>132.18577500000001</v>
      </c>
    </row>
    <row r="73" spans="2:8" ht="15" thickBot="1" x14ac:dyDescent="0.25">
      <c r="B73" s="357" t="s">
        <v>68</v>
      </c>
      <c r="C73" s="358"/>
      <c r="D73" s="358"/>
      <c r="E73" s="358"/>
      <c r="F73" s="358"/>
      <c r="G73" s="358"/>
      <c r="H73" s="359"/>
    </row>
    <row r="74" spans="2:8" s="96" customFormat="1" x14ac:dyDescent="0.2">
      <c r="B74" s="122" t="s">
        <v>43</v>
      </c>
      <c r="C74" s="121" t="str">
        <f>Orçamento!E28</f>
        <v xml:space="preserve">VERGA/CONTRAVERGA EM CONCRETO ARMADO FCK = 20 MPA </v>
      </c>
      <c r="D74" s="22" t="s">
        <v>49</v>
      </c>
      <c r="E74" s="31" t="s">
        <v>74</v>
      </c>
      <c r="F74" s="31" t="s">
        <v>75</v>
      </c>
      <c r="G74" s="31" t="s">
        <v>79</v>
      </c>
      <c r="H74" s="31" t="s">
        <v>274</v>
      </c>
    </row>
    <row r="75" spans="2:8" x14ac:dyDescent="0.2">
      <c r="B75" s="123" t="s">
        <v>353</v>
      </c>
      <c r="C75" s="62" t="s">
        <v>122</v>
      </c>
      <c r="D75" s="93"/>
      <c r="E75" s="12">
        <v>0.8</v>
      </c>
      <c r="F75" s="12">
        <v>0.15</v>
      </c>
      <c r="G75" s="12">
        <v>0.1</v>
      </c>
      <c r="H75" s="31">
        <f>G75*F75*E75</f>
        <v>1.2E-2</v>
      </c>
    </row>
    <row r="76" spans="2:8" x14ac:dyDescent="0.2">
      <c r="B76" s="123" t="s">
        <v>354</v>
      </c>
      <c r="C76" s="62" t="s">
        <v>270</v>
      </c>
      <c r="D76" s="93"/>
      <c r="E76" s="12">
        <v>0.8</v>
      </c>
      <c r="F76" s="12">
        <v>0.15</v>
      </c>
      <c r="G76" s="12">
        <v>0.1</v>
      </c>
      <c r="H76" s="31">
        <f t="shared" ref="H76:H77" si="3">G76*F76*E76</f>
        <v>1.2E-2</v>
      </c>
    </row>
    <row r="77" spans="2:8" x14ac:dyDescent="0.2">
      <c r="B77" s="123" t="s">
        <v>355</v>
      </c>
      <c r="C77" s="62" t="s">
        <v>140</v>
      </c>
      <c r="D77" s="93"/>
      <c r="E77" s="12">
        <v>1</v>
      </c>
      <c r="F77" s="12">
        <v>0.15</v>
      </c>
      <c r="G77" s="12">
        <v>0.1</v>
      </c>
      <c r="H77" s="31">
        <f t="shared" si="3"/>
        <v>1.4999999999999999E-2</v>
      </c>
    </row>
    <row r="78" spans="2:8" x14ac:dyDescent="0.2">
      <c r="B78" s="314" t="s">
        <v>10</v>
      </c>
      <c r="C78" s="315"/>
      <c r="D78" s="315"/>
      <c r="E78" s="315"/>
      <c r="F78" s="315"/>
      <c r="G78" s="316"/>
      <c r="H78" s="85">
        <f>SUM(H75:H77)</f>
        <v>3.9E-2</v>
      </c>
    </row>
    <row r="79" spans="2:8" s="96" customFormat="1" x14ac:dyDescent="0.2">
      <c r="B79" s="124" t="s">
        <v>44</v>
      </c>
      <c r="C79" s="95" t="str">
        <f>Orçamento!E29</f>
        <v xml:space="preserve">ANDAIME METALICO TORRE (ALUGUEL/MES) </v>
      </c>
      <c r="D79" s="92" t="s">
        <v>98</v>
      </c>
      <c r="E79" s="354" t="s">
        <v>172</v>
      </c>
      <c r="F79" s="354"/>
      <c r="G79" s="92" t="s">
        <v>583</v>
      </c>
      <c r="H79" s="92" t="s">
        <v>584</v>
      </c>
    </row>
    <row r="80" spans="2:8" x14ac:dyDescent="0.2">
      <c r="B80" s="108" t="s">
        <v>356</v>
      </c>
      <c r="C80" s="99" t="s">
        <v>244</v>
      </c>
      <c r="D80" s="100"/>
      <c r="E80" s="323">
        <v>10</v>
      </c>
      <c r="F80" s="325"/>
      <c r="G80" s="100">
        <v>5</v>
      </c>
      <c r="H80" s="100">
        <f>G80*E80</f>
        <v>50</v>
      </c>
    </row>
    <row r="81" spans="2:8" x14ac:dyDescent="0.2">
      <c r="B81" s="310" t="s">
        <v>10</v>
      </c>
      <c r="C81" s="310"/>
      <c r="D81" s="310"/>
      <c r="E81" s="310"/>
      <c r="F81" s="310"/>
      <c r="G81" s="310"/>
      <c r="H81" s="85">
        <f>E80*G80</f>
        <v>50</v>
      </c>
    </row>
    <row r="82" spans="2:8" s="96" customFormat="1" x14ac:dyDescent="0.2">
      <c r="B82" s="92" t="s">
        <v>45</v>
      </c>
      <c r="C82" s="125" t="str">
        <f>Orçamento!E30</f>
        <v xml:space="preserve">ACO CA-50-A - 6,3 MM (1/4") - (OBRAS CIVIS) </v>
      </c>
      <c r="D82" s="126" t="s">
        <v>275</v>
      </c>
      <c r="E82" s="326" t="s">
        <v>74</v>
      </c>
      <c r="F82" s="327"/>
      <c r="G82" s="92" t="s">
        <v>279</v>
      </c>
      <c r="H82" s="92" t="s">
        <v>278</v>
      </c>
    </row>
    <row r="83" spans="2:8" x14ac:dyDescent="0.2">
      <c r="B83" s="98" t="s">
        <v>357</v>
      </c>
      <c r="C83" s="104" t="s">
        <v>280</v>
      </c>
      <c r="D83" s="85"/>
      <c r="E83" s="323">
        <v>80</v>
      </c>
      <c r="F83" s="325"/>
      <c r="G83" s="86">
        <v>0.248</v>
      </c>
      <c r="H83" s="98">
        <f>G83*E83</f>
        <v>19.84</v>
      </c>
    </row>
    <row r="84" spans="2:8" x14ac:dyDescent="0.2">
      <c r="B84" s="310" t="s">
        <v>10</v>
      </c>
      <c r="C84" s="310"/>
      <c r="D84" s="310"/>
      <c r="E84" s="310"/>
      <c r="F84" s="310"/>
      <c r="G84" s="310"/>
      <c r="H84" s="85">
        <f>H83</f>
        <v>19.84</v>
      </c>
    </row>
    <row r="85" spans="2:8" s="96" customFormat="1" x14ac:dyDescent="0.2">
      <c r="B85" s="92" t="s">
        <v>271</v>
      </c>
      <c r="C85" s="127" t="str">
        <f>Orçamento!E31</f>
        <v xml:space="preserve">ACO CA-50A - 10,0 MM (3/8") - (OBRAS CIVIS) </v>
      </c>
      <c r="D85" s="128" t="s">
        <v>275</v>
      </c>
      <c r="E85" s="326" t="s">
        <v>74</v>
      </c>
      <c r="F85" s="327"/>
      <c r="G85" s="92" t="s">
        <v>279</v>
      </c>
      <c r="H85" s="92" t="s">
        <v>278</v>
      </c>
    </row>
    <row r="86" spans="2:8" x14ac:dyDescent="0.2">
      <c r="B86" s="98" t="s">
        <v>358</v>
      </c>
      <c r="C86" s="104" t="s">
        <v>280</v>
      </c>
      <c r="D86" s="13"/>
      <c r="E86" s="323">
        <v>660</v>
      </c>
      <c r="F86" s="325"/>
      <c r="G86" s="86">
        <v>0.624</v>
      </c>
      <c r="H86" s="98">
        <f>G86*E86</f>
        <v>411.84</v>
      </c>
    </row>
    <row r="87" spans="2:8" x14ac:dyDescent="0.2">
      <c r="B87" s="310" t="s">
        <v>10</v>
      </c>
      <c r="C87" s="310"/>
      <c r="D87" s="310"/>
      <c r="E87" s="310"/>
      <c r="F87" s="310"/>
      <c r="G87" s="310"/>
      <c r="H87" s="85">
        <f>H86</f>
        <v>411.84</v>
      </c>
    </row>
    <row r="88" spans="2:8" s="96" customFormat="1" x14ac:dyDescent="0.2">
      <c r="B88" s="206" t="s">
        <v>272</v>
      </c>
      <c r="C88" s="127" t="str">
        <f>Orçamento!E32</f>
        <v>PREPARO COM BETONEIRA E TRANSPORTE MANUAL DE CONCRETO FCK-15 - (O.C.)</v>
      </c>
      <c r="D88" s="128" t="s">
        <v>49</v>
      </c>
      <c r="E88" s="31" t="s">
        <v>74</v>
      </c>
      <c r="F88" s="31" t="s">
        <v>75</v>
      </c>
      <c r="G88" s="31" t="s">
        <v>79</v>
      </c>
      <c r="H88" s="31" t="s">
        <v>274</v>
      </c>
    </row>
    <row r="89" spans="2:8" x14ac:dyDescent="0.2">
      <c r="B89" s="226" t="s">
        <v>359</v>
      </c>
      <c r="C89" s="227" t="s">
        <v>654</v>
      </c>
      <c r="D89" s="13"/>
      <c r="E89" s="12">
        <v>0.15</v>
      </c>
      <c r="F89" s="12">
        <v>0.15</v>
      </c>
      <c r="G89" s="12">
        <v>4.5</v>
      </c>
      <c r="H89" s="31">
        <f>G89*F89*E89</f>
        <v>0.10124999999999999</v>
      </c>
    </row>
    <row r="90" spans="2:8" x14ac:dyDescent="0.2">
      <c r="B90" s="310" t="s">
        <v>10</v>
      </c>
      <c r="C90" s="310"/>
      <c r="D90" s="310"/>
      <c r="E90" s="310"/>
      <c r="F90" s="310"/>
      <c r="G90" s="310"/>
      <c r="H90" s="207">
        <f>H89*4</f>
        <v>0.40499999999999997</v>
      </c>
    </row>
    <row r="91" spans="2:8" s="96" customFormat="1" ht="28" x14ac:dyDescent="0.2">
      <c r="B91" s="92" t="s">
        <v>651</v>
      </c>
      <c r="C91" s="127" t="str">
        <f>Orçamento!E33</f>
        <v>FORRO EM LAJE PRE-MOLDADA INC.CAPEAMENTO/FERR.DISTRIB./ESCORAMENTO E FORMA/DESFORMA</v>
      </c>
      <c r="D91" s="128" t="s">
        <v>24</v>
      </c>
      <c r="E91" s="326" t="s">
        <v>74</v>
      </c>
      <c r="F91" s="327"/>
      <c r="G91" s="92" t="s">
        <v>75</v>
      </c>
      <c r="H91" s="92" t="s">
        <v>76</v>
      </c>
    </row>
    <row r="92" spans="2:8" x14ac:dyDescent="0.2">
      <c r="B92" s="226" t="s">
        <v>653</v>
      </c>
      <c r="C92" s="104" t="s">
        <v>281</v>
      </c>
      <c r="D92" s="85"/>
      <c r="E92" s="323">
        <v>2.4500000000000002</v>
      </c>
      <c r="F92" s="325"/>
      <c r="G92" s="100">
        <v>3.45</v>
      </c>
      <c r="H92" s="98">
        <f>G92*E92</f>
        <v>8.4525000000000006</v>
      </c>
    </row>
    <row r="93" spans="2:8" ht="15" thickBot="1" x14ac:dyDescent="0.25">
      <c r="B93" s="350" t="s">
        <v>10</v>
      </c>
      <c r="C93" s="350"/>
      <c r="D93" s="350"/>
      <c r="E93" s="350"/>
      <c r="F93" s="350"/>
      <c r="G93" s="350"/>
      <c r="H93" s="87">
        <f>H92</f>
        <v>8.4525000000000006</v>
      </c>
    </row>
    <row r="94" spans="2:8" ht="15" thickBot="1" x14ac:dyDescent="0.25">
      <c r="B94" s="357" t="s">
        <v>13</v>
      </c>
      <c r="C94" s="358"/>
      <c r="D94" s="358"/>
      <c r="E94" s="358"/>
      <c r="F94" s="358"/>
      <c r="G94" s="358"/>
      <c r="H94" s="359"/>
    </row>
    <row r="95" spans="2:8" s="96" customFormat="1" x14ac:dyDescent="0.2">
      <c r="B95" s="124" t="s">
        <v>36</v>
      </c>
      <c r="C95" s="95" t="str">
        <f>Orçamento!E36</f>
        <v xml:space="preserve">LAMPADA VAPOR METALICO OVOIDE 400 W </v>
      </c>
      <c r="D95" s="92" t="s">
        <v>119</v>
      </c>
      <c r="E95" s="326"/>
      <c r="F95" s="356"/>
      <c r="G95" s="356"/>
      <c r="H95" s="327"/>
    </row>
    <row r="96" spans="2:8" x14ac:dyDescent="0.2">
      <c r="B96" s="108" t="s">
        <v>360</v>
      </c>
      <c r="C96" s="99" t="s">
        <v>105</v>
      </c>
      <c r="D96" s="100"/>
      <c r="E96" s="311">
        <v>10</v>
      </c>
      <c r="F96" s="312"/>
      <c r="G96" s="312"/>
      <c r="H96" s="313"/>
    </row>
    <row r="97" spans="2:8" x14ac:dyDescent="0.2">
      <c r="B97" s="314" t="s">
        <v>10</v>
      </c>
      <c r="C97" s="315"/>
      <c r="D97" s="315"/>
      <c r="E97" s="315"/>
      <c r="F97" s="315"/>
      <c r="G97" s="316"/>
      <c r="H97" s="117">
        <f>E96</f>
        <v>10</v>
      </c>
    </row>
    <row r="98" spans="2:8" s="96" customFormat="1" x14ac:dyDescent="0.2">
      <c r="B98" s="124" t="s">
        <v>37</v>
      </c>
      <c r="C98" s="129" t="str">
        <f>Orçamento!E37</f>
        <v xml:space="preserve">LAMPADA COMPACTA ELETRÔNICA COM REATOR INTEGRADO 10 W </v>
      </c>
      <c r="D98" s="92" t="s">
        <v>119</v>
      </c>
      <c r="E98" s="326"/>
      <c r="F98" s="356"/>
      <c r="G98" s="356"/>
      <c r="H98" s="327"/>
    </row>
    <row r="99" spans="2:8" x14ac:dyDescent="0.2">
      <c r="B99" s="108" t="s">
        <v>361</v>
      </c>
      <c r="C99" s="99" t="s">
        <v>81</v>
      </c>
      <c r="D99" s="100"/>
      <c r="E99" s="311">
        <v>1</v>
      </c>
      <c r="F99" s="312"/>
      <c r="G99" s="312"/>
      <c r="H99" s="313"/>
    </row>
    <row r="100" spans="2:8" x14ac:dyDescent="0.2">
      <c r="B100" s="108" t="s">
        <v>362</v>
      </c>
      <c r="C100" s="99" t="s">
        <v>72</v>
      </c>
      <c r="D100" s="100"/>
      <c r="E100" s="311">
        <v>1</v>
      </c>
      <c r="F100" s="312"/>
      <c r="G100" s="312"/>
      <c r="H100" s="313"/>
    </row>
    <row r="101" spans="2:8" x14ac:dyDescent="0.2">
      <c r="B101" s="108" t="s">
        <v>363</v>
      </c>
      <c r="C101" s="99" t="s">
        <v>107</v>
      </c>
      <c r="D101" s="100"/>
      <c r="E101" s="311">
        <v>1</v>
      </c>
      <c r="F101" s="312"/>
      <c r="G101" s="312"/>
      <c r="H101" s="313"/>
    </row>
    <row r="102" spans="2:8" x14ac:dyDescent="0.2">
      <c r="B102" s="108" t="s">
        <v>364</v>
      </c>
      <c r="C102" s="99" t="s">
        <v>103</v>
      </c>
      <c r="D102" s="100"/>
      <c r="E102" s="311">
        <v>1</v>
      </c>
      <c r="F102" s="312"/>
      <c r="G102" s="312"/>
      <c r="H102" s="313"/>
    </row>
    <row r="103" spans="2:8" x14ac:dyDescent="0.2">
      <c r="B103" s="108" t="s">
        <v>365</v>
      </c>
      <c r="C103" s="99" t="s">
        <v>80</v>
      </c>
      <c r="D103" s="100"/>
      <c r="E103" s="311">
        <v>1</v>
      </c>
      <c r="F103" s="312"/>
      <c r="G103" s="312"/>
      <c r="H103" s="313"/>
    </row>
    <row r="104" spans="2:8" x14ac:dyDescent="0.2">
      <c r="B104" s="108" t="s">
        <v>366</v>
      </c>
      <c r="C104" s="99" t="s">
        <v>122</v>
      </c>
      <c r="D104" s="100"/>
      <c r="E104" s="311">
        <v>1</v>
      </c>
      <c r="F104" s="312"/>
      <c r="G104" s="312"/>
      <c r="H104" s="313"/>
    </row>
    <row r="105" spans="2:8" x14ac:dyDescent="0.2">
      <c r="B105" s="108" t="s">
        <v>367</v>
      </c>
      <c r="C105" s="99" t="s">
        <v>270</v>
      </c>
      <c r="D105" s="100"/>
      <c r="E105" s="311">
        <v>1</v>
      </c>
      <c r="F105" s="312"/>
      <c r="G105" s="312"/>
      <c r="H105" s="313"/>
    </row>
    <row r="106" spans="2:8" x14ac:dyDescent="0.2">
      <c r="B106" s="108" t="s">
        <v>368</v>
      </c>
      <c r="C106" s="99" t="s">
        <v>140</v>
      </c>
      <c r="D106" s="100"/>
      <c r="E106" s="311">
        <v>1</v>
      </c>
      <c r="F106" s="312"/>
      <c r="G106" s="312"/>
      <c r="H106" s="313"/>
    </row>
    <row r="107" spans="2:8" x14ac:dyDescent="0.2">
      <c r="B107" s="314" t="s">
        <v>10</v>
      </c>
      <c r="C107" s="315"/>
      <c r="D107" s="315"/>
      <c r="E107" s="315"/>
      <c r="F107" s="315"/>
      <c r="G107" s="316"/>
      <c r="H107" s="117">
        <f>SUM(E99:H106)</f>
        <v>8</v>
      </c>
    </row>
    <row r="108" spans="2:8" s="96" customFormat="1" x14ac:dyDescent="0.2">
      <c r="B108" s="124" t="s">
        <v>51</v>
      </c>
      <c r="C108" s="95" t="str">
        <f>Orçamento!E38</f>
        <v xml:space="preserve">LUMINÁRIA TIPO SPOT DE SOBREPOR PARA 01 LÂMPADA </v>
      </c>
      <c r="D108" s="92" t="s">
        <v>119</v>
      </c>
      <c r="E108" s="326"/>
      <c r="F108" s="356"/>
      <c r="G108" s="356"/>
      <c r="H108" s="327"/>
    </row>
    <row r="109" spans="2:8" x14ac:dyDescent="0.2">
      <c r="B109" s="108" t="s">
        <v>369</v>
      </c>
      <c r="C109" s="99" t="s">
        <v>81</v>
      </c>
      <c r="D109" s="100"/>
      <c r="E109" s="311">
        <v>1</v>
      </c>
      <c r="F109" s="312"/>
      <c r="G109" s="312"/>
      <c r="H109" s="313"/>
    </row>
    <row r="110" spans="2:8" x14ac:dyDescent="0.2">
      <c r="B110" s="108" t="s">
        <v>370</v>
      </c>
      <c r="C110" s="99" t="s">
        <v>72</v>
      </c>
      <c r="D110" s="100"/>
      <c r="E110" s="311">
        <v>1</v>
      </c>
      <c r="F110" s="312"/>
      <c r="G110" s="312"/>
      <c r="H110" s="313"/>
    </row>
    <row r="111" spans="2:8" x14ac:dyDescent="0.2">
      <c r="B111" s="108" t="s">
        <v>371</v>
      </c>
      <c r="C111" s="99" t="s">
        <v>107</v>
      </c>
      <c r="D111" s="100"/>
      <c r="E111" s="311">
        <v>1</v>
      </c>
      <c r="F111" s="312"/>
      <c r="G111" s="312"/>
      <c r="H111" s="313"/>
    </row>
    <row r="112" spans="2:8" x14ac:dyDescent="0.2">
      <c r="B112" s="108" t="s">
        <v>372</v>
      </c>
      <c r="C112" s="99" t="s">
        <v>103</v>
      </c>
      <c r="D112" s="100"/>
      <c r="E112" s="311">
        <v>1</v>
      </c>
      <c r="F112" s="312"/>
      <c r="G112" s="312"/>
      <c r="H112" s="313"/>
    </row>
    <row r="113" spans="2:8" x14ac:dyDescent="0.2">
      <c r="B113" s="108" t="s">
        <v>373</v>
      </c>
      <c r="C113" s="99" t="s">
        <v>80</v>
      </c>
      <c r="D113" s="100"/>
      <c r="E113" s="311">
        <v>1</v>
      </c>
      <c r="F113" s="312"/>
      <c r="G113" s="312"/>
      <c r="H113" s="313"/>
    </row>
    <row r="114" spans="2:8" x14ac:dyDescent="0.2">
      <c r="B114" s="108" t="s">
        <v>374</v>
      </c>
      <c r="C114" s="99" t="s">
        <v>122</v>
      </c>
      <c r="D114" s="100"/>
      <c r="E114" s="311">
        <v>1</v>
      </c>
      <c r="F114" s="312"/>
      <c r="G114" s="312"/>
      <c r="H114" s="313"/>
    </row>
    <row r="115" spans="2:8" x14ac:dyDescent="0.2">
      <c r="B115" s="108" t="s">
        <v>375</v>
      </c>
      <c r="C115" s="99" t="s">
        <v>270</v>
      </c>
      <c r="D115" s="100"/>
      <c r="E115" s="311">
        <v>1</v>
      </c>
      <c r="F115" s="312"/>
      <c r="G115" s="312"/>
      <c r="H115" s="313"/>
    </row>
    <row r="116" spans="2:8" x14ac:dyDescent="0.2">
      <c r="B116" s="108" t="s">
        <v>376</v>
      </c>
      <c r="C116" s="99" t="s">
        <v>140</v>
      </c>
      <c r="D116" s="100"/>
      <c r="E116" s="311">
        <v>1</v>
      </c>
      <c r="F116" s="312"/>
      <c r="G116" s="312"/>
      <c r="H116" s="313"/>
    </row>
    <row r="117" spans="2:8" x14ac:dyDescent="0.2">
      <c r="B117" s="310" t="s">
        <v>10</v>
      </c>
      <c r="C117" s="310"/>
      <c r="D117" s="310"/>
      <c r="E117" s="310"/>
      <c r="F117" s="310"/>
      <c r="G117" s="310"/>
      <c r="H117" s="131">
        <f>SUM(E109:H116)</f>
        <v>8</v>
      </c>
    </row>
    <row r="118" spans="2:8" s="96" customFormat="1" x14ac:dyDescent="0.2">
      <c r="B118" s="92" t="s">
        <v>52</v>
      </c>
      <c r="C118" s="130" t="str">
        <f>Orçamento!E39</f>
        <v xml:space="preserve">ELETRODUTO PVC FLEXÍVEL - MANGUEIRA CORRUGADA LEVE - DIAM. 20MM </v>
      </c>
      <c r="D118" s="128" t="s">
        <v>61</v>
      </c>
      <c r="E118" s="326"/>
      <c r="F118" s="356"/>
      <c r="G118" s="356"/>
      <c r="H118" s="327"/>
    </row>
    <row r="119" spans="2:8" x14ac:dyDescent="0.2">
      <c r="B119" s="98" t="s">
        <v>377</v>
      </c>
      <c r="C119" s="55" t="s">
        <v>610</v>
      </c>
      <c r="D119" s="13"/>
      <c r="E119" s="323">
        <v>25</v>
      </c>
      <c r="F119" s="324"/>
      <c r="G119" s="324"/>
      <c r="H119" s="325"/>
    </row>
    <row r="120" spans="2:8" x14ac:dyDescent="0.2">
      <c r="B120" s="310" t="s">
        <v>10</v>
      </c>
      <c r="C120" s="310"/>
      <c r="D120" s="310"/>
      <c r="E120" s="310"/>
      <c r="F120" s="310"/>
      <c r="G120" s="310"/>
      <c r="H120" s="87">
        <f>E119</f>
        <v>25</v>
      </c>
    </row>
    <row r="121" spans="2:8" s="96" customFormat="1" x14ac:dyDescent="0.2">
      <c r="B121" s="92" t="s">
        <v>53</v>
      </c>
      <c r="C121" s="130" t="str">
        <f>Orçamento!E40</f>
        <v xml:space="preserve">FIO ISOLADO PVC 750 V, No. 1,5 MM2 </v>
      </c>
      <c r="D121" s="128" t="s">
        <v>61</v>
      </c>
      <c r="E121" s="326"/>
      <c r="F121" s="356"/>
      <c r="G121" s="356"/>
      <c r="H121" s="327"/>
    </row>
    <row r="122" spans="2:8" x14ac:dyDescent="0.2">
      <c r="B122" s="98" t="s">
        <v>378</v>
      </c>
      <c r="C122" s="55" t="s">
        <v>610</v>
      </c>
      <c r="D122" s="13"/>
      <c r="E122" s="323">
        <v>80</v>
      </c>
      <c r="F122" s="324"/>
      <c r="G122" s="324"/>
      <c r="H122" s="325"/>
    </row>
    <row r="123" spans="2:8" x14ac:dyDescent="0.2">
      <c r="B123" s="310" t="s">
        <v>10</v>
      </c>
      <c r="C123" s="310"/>
      <c r="D123" s="310"/>
      <c r="E123" s="310"/>
      <c r="F123" s="310"/>
      <c r="G123" s="310"/>
      <c r="H123" s="85">
        <f>E122</f>
        <v>80</v>
      </c>
    </row>
    <row r="124" spans="2:8" s="96" customFormat="1" x14ac:dyDescent="0.2">
      <c r="B124" s="92" t="s">
        <v>54</v>
      </c>
      <c r="C124" s="130" t="str">
        <f>Orçamento!E41</f>
        <v xml:space="preserve">INTERRUPTOR SIMPLES (1 SECAO) </v>
      </c>
      <c r="D124" s="132" t="s">
        <v>267</v>
      </c>
      <c r="E124" s="326"/>
      <c r="F124" s="356"/>
      <c r="G124" s="356"/>
      <c r="H124" s="327"/>
    </row>
    <row r="125" spans="2:8" x14ac:dyDescent="0.2">
      <c r="B125" s="98" t="s">
        <v>379</v>
      </c>
      <c r="C125" s="99" t="s">
        <v>122</v>
      </c>
      <c r="D125" s="100"/>
      <c r="E125" s="311">
        <v>1</v>
      </c>
      <c r="F125" s="312"/>
      <c r="G125" s="312"/>
      <c r="H125" s="313"/>
    </row>
    <row r="126" spans="2:8" x14ac:dyDescent="0.2">
      <c r="B126" s="98" t="s">
        <v>380</v>
      </c>
      <c r="C126" s="99" t="s">
        <v>270</v>
      </c>
      <c r="D126" s="100"/>
      <c r="E126" s="311">
        <v>1</v>
      </c>
      <c r="F126" s="312"/>
      <c r="G126" s="312"/>
      <c r="H126" s="313"/>
    </row>
    <row r="127" spans="2:8" x14ac:dyDescent="0.2">
      <c r="B127" s="98" t="s">
        <v>381</v>
      </c>
      <c r="C127" s="99" t="s">
        <v>140</v>
      </c>
      <c r="D127" s="100"/>
      <c r="E127" s="311">
        <v>1</v>
      </c>
      <c r="F127" s="312"/>
      <c r="G127" s="312"/>
      <c r="H127" s="313"/>
    </row>
    <row r="128" spans="2:8" x14ac:dyDescent="0.2">
      <c r="B128" s="310" t="s">
        <v>10</v>
      </c>
      <c r="C128" s="310"/>
      <c r="D128" s="310"/>
      <c r="E128" s="310"/>
      <c r="F128" s="310"/>
      <c r="G128" s="310"/>
      <c r="H128" s="117">
        <f>SUM(E125:H127)</f>
        <v>3</v>
      </c>
    </row>
    <row r="129" spans="2:8" s="96" customFormat="1" x14ac:dyDescent="0.2">
      <c r="B129" s="92" t="s">
        <v>55</v>
      </c>
      <c r="C129" s="130" t="str">
        <f>Orçamento!E42</f>
        <v>TOMADA HEXAGONAL 2P + T - 10A - 250V</v>
      </c>
      <c r="D129" s="132" t="s">
        <v>268</v>
      </c>
      <c r="E129" s="326"/>
      <c r="F129" s="356"/>
      <c r="G129" s="356"/>
      <c r="H129" s="327"/>
    </row>
    <row r="130" spans="2:8" x14ac:dyDescent="0.2">
      <c r="B130" s="98" t="s">
        <v>382</v>
      </c>
      <c r="C130" s="99" t="s">
        <v>140</v>
      </c>
      <c r="D130" s="100"/>
      <c r="E130" s="311">
        <v>2</v>
      </c>
      <c r="F130" s="312"/>
      <c r="G130" s="312"/>
      <c r="H130" s="313"/>
    </row>
    <row r="131" spans="2:8" x14ac:dyDescent="0.2">
      <c r="B131" s="310" t="s">
        <v>10</v>
      </c>
      <c r="C131" s="310"/>
      <c r="D131" s="310"/>
      <c r="E131" s="310"/>
      <c r="F131" s="310"/>
      <c r="G131" s="310"/>
      <c r="H131" s="117">
        <f>E130</f>
        <v>2</v>
      </c>
    </row>
    <row r="132" spans="2:8" s="96" customFormat="1" x14ac:dyDescent="0.2">
      <c r="B132" s="92" t="s">
        <v>56</v>
      </c>
      <c r="C132" s="130" t="str">
        <f>Orçamento!E43</f>
        <v xml:space="preserve">TOMADA TELEFONICA (4 PINOS) </v>
      </c>
      <c r="D132" s="132" t="s">
        <v>267</v>
      </c>
      <c r="E132" s="326"/>
      <c r="F132" s="356"/>
      <c r="G132" s="356"/>
      <c r="H132" s="327"/>
    </row>
    <row r="133" spans="2:8" x14ac:dyDescent="0.2">
      <c r="B133" s="98" t="s">
        <v>383</v>
      </c>
      <c r="C133" s="99" t="s">
        <v>140</v>
      </c>
      <c r="D133" s="85"/>
      <c r="E133" s="311">
        <v>1</v>
      </c>
      <c r="F133" s="312"/>
      <c r="G133" s="312"/>
      <c r="H133" s="313"/>
    </row>
    <row r="134" spans="2:8" ht="15" thickBot="1" x14ac:dyDescent="0.25">
      <c r="B134" s="350" t="s">
        <v>10</v>
      </c>
      <c r="C134" s="350"/>
      <c r="D134" s="350"/>
      <c r="E134" s="350"/>
      <c r="F134" s="350"/>
      <c r="G134" s="350"/>
      <c r="H134" s="133">
        <f>E133</f>
        <v>1</v>
      </c>
    </row>
    <row r="135" spans="2:8" ht="15" thickBot="1" x14ac:dyDescent="0.25">
      <c r="B135" s="281" t="s">
        <v>50</v>
      </c>
      <c r="C135" s="282"/>
      <c r="D135" s="282"/>
      <c r="E135" s="282"/>
      <c r="F135" s="282"/>
      <c r="G135" s="282"/>
      <c r="H135" s="283"/>
    </row>
    <row r="136" spans="2:8" s="96" customFormat="1" x14ac:dyDescent="0.2">
      <c r="B136" s="124" t="str">
        <f>Orçamento!B46</f>
        <v>5.1</v>
      </c>
      <c r="C136" s="120" t="str">
        <f>Orçamento!E46</f>
        <v xml:space="preserve">VASO SANITÁRIO </v>
      </c>
      <c r="D136" s="92" t="s">
        <v>119</v>
      </c>
      <c r="E136" s="326"/>
      <c r="F136" s="356"/>
      <c r="G136" s="356"/>
      <c r="H136" s="327"/>
    </row>
    <row r="137" spans="2:8" x14ac:dyDescent="0.2">
      <c r="B137" s="135" t="s">
        <v>622</v>
      </c>
      <c r="C137" s="99" t="s">
        <v>120</v>
      </c>
      <c r="D137" s="100"/>
      <c r="E137" s="311">
        <v>1</v>
      </c>
      <c r="F137" s="312"/>
      <c r="G137" s="312"/>
      <c r="H137" s="313"/>
    </row>
    <row r="138" spans="2:8" x14ac:dyDescent="0.2">
      <c r="B138" s="135" t="s">
        <v>623</v>
      </c>
      <c r="C138" s="99" t="s">
        <v>122</v>
      </c>
      <c r="D138" s="112"/>
      <c r="E138" s="311">
        <v>1</v>
      </c>
      <c r="F138" s="312"/>
      <c r="G138" s="312"/>
      <c r="H138" s="313"/>
    </row>
    <row r="139" spans="2:8" x14ac:dyDescent="0.2">
      <c r="B139" s="135" t="s">
        <v>624</v>
      </c>
      <c r="C139" s="99" t="s">
        <v>123</v>
      </c>
      <c r="D139" s="112"/>
      <c r="E139" s="311">
        <v>1</v>
      </c>
      <c r="F139" s="312"/>
      <c r="G139" s="312"/>
      <c r="H139" s="313"/>
    </row>
    <row r="140" spans="2:8" x14ac:dyDescent="0.2">
      <c r="B140" s="314" t="s">
        <v>10</v>
      </c>
      <c r="C140" s="315"/>
      <c r="D140" s="315"/>
      <c r="E140" s="315"/>
      <c r="F140" s="315"/>
      <c r="G140" s="316"/>
      <c r="H140" s="117">
        <f>SUM(E137:H139)</f>
        <v>3</v>
      </c>
    </row>
    <row r="141" spans="2:8" s="96" customFormat="1" x14ac:dyDescent="0.2">
      <c r="B141" s="124" t="str">
        <f>Orçamento!B47</f>
        <v>5.2</v>
      </c>
      <c r="C141" s="120" t="str">
        <f>Orçamento!E47</f>
        <v>ANEL DE VEDAÇÃO PARA VASO SANITÁRIO</v>
      </c>
      <c r="D141" s="219" t="s">
        <v>119</v>
      </c>
      <c r="E141" s="326"/>
      <c r="F141" s="356"/>
      <c r="G141" s="356"/>
      <c r="H141" s="327"/>
    </row>
    <row r="142" spans="2:8" x14ac:dyDescent="0.2">
      <c r="B142" s="239" t="s">
        <v>625</v>
      </c>
      <c r="C142" s="99" t="s">
        <v>120</v>
      </c>
      <c r="D142" s="218"/>
      <c r="E142" s="311">
        <v>1</v>
      </c>
      <c r="F142" s="312"/>
      <c r="G142" s="312"/>
      <c r="H142" s="313"/>
    </row>
    <row r="143" spans="2:8" x14ac:dyDescent="0.2">
      <c r="B143" s="239" t="s">
        <v>626</v>
      </c>
      <c r="C143" s="99" t="s">
        <v>122</v>
      </c>
      <c r="D143" s="112"/>
      <c r="E143" s="311">
        <v>1</v>
      </c>
      <c r="F143" s="312"/>
      <c r="G143" s="312"/>
      <c r="H143" s="313"/>
    </row>
    <row r="144" spans="2:8" x14ac:dyDescent="0.2">
      <c r="B144" s="239" t="s">
        <v>627</v>
      </c>
      <c r="C144" s="99" t="s">
        <v>123</v>
      </c>
      <c r="D144" s="112"/>
      <c r="E144" s="311">
        <v>1</v>
      </c>
      <c r="F144" s="312"/>
      <c r="G144" s="312"/>
      <c r="H144" s="313"/>
    </row>
    <row r="145" spans="2:8" x14ac:dyDescent="0.2">
      <c r="B145" s="314" t="s">
        <v>10</v>
      </c>
      <c r="C145" s="315"/>
      <c r="D145" s="315"/>
      <c r="E145" s="315"/>
      <c r="F145" s="315"/>
      <c r="G145" s="316"/>
      <c r="H145" s="117">
        <f>SUM(E142:H144)</f>
        <v>3</v>
      </c>
    </row>
    <row r="146" spans="2:8" s="96" customFormat="1" ht="28" x14ac:dyDescent="0.2">
      <c r="B146" s="124" t="str">
        <f>Orçamento!B48</f>
        <v>5.3</v>
      </c>
      <c r="C146" s="120" t="str">
        <f>Orçamento!E48</f>
        <v>VÁLVULA DE DESCARGA COM SISTEMA PASSANTE EM POLÍMERO - OPÇÃO ECONÔMICA (_x000D_ALTA SEGURANÇA)</v>
      </c>
      <c r="D146" s="219" t="s">
        <v>119</v>
      </c>
      <c r="E146" s="326"/>
      <c r="F146" s="356"/>
      <c r="G146" s="356"/>
      <c r="H146" s="327"/>
    </row>
    <row r="147" spans="2:8" x14ac:dyDescent="0.2">
      <c r="B147" s="239" t="s">
        <v>384</v>
      </c>
      <c r="C147" s="99" t="s">
        <v>120</v>
      </c>
      <c r="D147" s="218"/>
      <c r="E147" s="311">
        <v>1</v>
      </c>
      <c r="F147" s="312"/>
      <c r="G147" s="312"/>
      <c r="H147" s="313"/>
    </row>
    <row r="148" spans="2:8" x14ac:dyDescent="0.2">
      <c r="B148" s="239" t="s">
        <v>385</v>
      </c>
      <c r="C148" s="99" t="s">
        <v>122</v>
      </c>
      <c r="D148" s="112"/>
      <c r="E148" s="311">
        <v>1</v>
      </c>
      <c r="F148" s="312"/>
      <c r="G148" s="312"/>
      <c r="H148" s="313"/>
    </row>
    <row r="149" spans="2:8" x14ac:dyDescent="0.2">
      <c r="B149" s="239" t="s">
        <v>386</v>
      </c>
      <c r="C149" s="99" t="s">
        <v>123</v>
      </c>
      <c r="D149" s="112"/>
      <c r="E149" s="311">
        <v>1</v>
      </c>
      <c r="F149" s="312"/>
      <c r="G149" s="312"/>
      <c r="H149" s="313"/>
    </row>
    <row r="150" spans="2:8" x14ac:dyDescent="0.2">
      <c r="B150" s="314" t="s">
        <v>10</v>
      </c>
      <c r="C150" s="315"/>
      <c r="D150" s="315"/>
      <c r="E150" s="315"/>
      <c r="F150" s="315"/>
      <c r="G150" s="316"/>
      <c r="H150" s="117">
        <f>SUM(E147:H149)</f>
        <v>3</v>
      </c>
    </row>
    <row r="151" spans="2:8" s="96" customFormat="1" x14ac:dyDescent="0.2">
      <c r="B151" s="124" t="str">
        <f>Orçamento!B49</f>
        <v>5.4</v>
      </c>
      <c r="C151" s="120" t="str">
        <f>Orçamento!E49</f>
        <v>CONJUNTO DE FIXACAO P/VASO SANITARIO (PAR)</v>
      </c>
      <c r="D151" s="219" t="s">
        <v>496</v>
      </c>
      <c r="E151" s="326"/>
      <c r="F151" s="356"/>
      <c r="G151" s="356"/>
      <c r="H151" s="327"/>
    </row>
    <row r="152" spans="2:8" x14ac:dyDescent="0.2">
      <c r="B152" s="239" t="s">
        <v>387</v>
      </c>
      <c r="C152" s="99" t="s">
        <v>120</v>
      </c>
      <c r="D152" s="218"/>
      <c r="E152" s="311">
        <v>1</v>
      </c>
      <c r="F152" s="312"/>
      <c r="G152" s="312"/>
      <c r="H152" s="313"/>
    </row>
    <row r="153" spans="2:8" x14ac:dyDescent="0.2">
      <c r="B153" s="239" t="s">
        <v>388</v>
      </c>
      <c r="C153" s="99" t="s">
        <v>122</v>
      </c>
      <c r="D153" s="112"/>
      <c r="E153" s="311">
        <v>1</v>
      </c>
      <c r="F153" s="312"/>
      <c r="G153" s="312"/>
      <c r="H153" s="313"/>
    </row>
    <row r="154" spans="2:8" x14ac:dyDescent="0.2">
      <c r="B154" s="239" t="s">
        <v>665</v>
      </c>
      <c r="C154" s="99" t="s">
        <v>123</v>
      </c>
      <c r="D154" s="112"/>
      <c r="E154" s="311">
        <v>1</v>
      </c>
      <c r="F154" s="312"/>
      <c r="G154" s="312"/>
      <c r="H154" s="313"/>
    </row>
    <row r="155" spans="2:8" x14ac:dyDescent="0.2">
      <c r="B155" s="314" t="s">
        <v>10</v>
      </c>
      <c r="C155" s="315"/>
      <c r="D155" s="315"/>
      <c r="E155" s="315"/>
      <c r="F155" s="315"/>
      <c r="G155" s="316"/>
      <c r="H155" s="117">
        <f>SUM(E152:H154)</f>
        <v>3</v>
      </c>
    </row>
    <row r="156" spans="2:8" s="96" customFormat="1" x14ac:dyDescent="0.2">
      <c r="B156" s="124" t="str">
        <f>Orçamento!B50</f>
        <v>5.5</v>
      </c>
      <c r="C156" s="120" t="str">
        <f>Orçamento!E50</f>
        <v xml:space="preserve">ASSENTO PARA VASO SANITÁRIO </v>
      </c>
      <c r="D156" s="92" t="s">
        <v>119</v>
      </c>
      <c r="E156" s="326"/>
      <c r="F156" s="356"/>
      <c r="G156" s="356"/>
      <c r="H156" s="327"/>
    </row>
    <row r="157" spans="2:8" x14ac:dyDescent="0.2">
      <c r="B157" s="239" t="s">
        <v>389</v>
      </c>
      <c r="C157" s="99" t="s">
        <v>81</v>
      </c>
      <c r="D157" s="103"/>
      <c r="E157" s="311">
        <v>1</v>
      </c>
      <c r="F157" s="312"/>
      <c r="G157" s="312"/>
      <c r="H157" s="313"/>
    </row>
    <row r="158" spans="2:8" x14ac:dyDescent="0.2">
      <c r="B158" s="239" t="s">
        <v>390</v>
      </c>
      <c r="C158" s="99" t="s">
        <v>72</v>
      </c>
      <c r="D158" s="100"/>
      <c r="E158" s="311">
        <v>2</v>
      </c>
      <c r="F158" s="312"/>
      <c r="G158" s="312"/>
      <c r="H158" s="313"/>
    </row>
    <row r="159" spans="2:8" x14ac:dyDescent="0.2">
      <c r="B159" s="239" t="s">
        <v>391</v>
      </c>
      <c r="C159" s="99" t="s">
        <v>107</v>
      </c>
      <c r="D159" s="100"/>
      <c r="E159" s="311">
        <v>2</v>
      </c>
      <c r="F159" s="312"/>
      <c r="G159" s="312"/>
      <c r="H159" s="313"/>
    </row>
    <row r="160" spans="2:8" x14ac:dyDescent="0.2">
      <c r="B160" s="239" t="s">
        <v>392</v>
      </c>
      <c r="C160" s="99" t="s">
        <v>122</v>
      </c>
      <c r="D160" s="100"/>
      <c r="E160" s="311">
        <v>1</v>
      </c>
      <c r="F160" s="312"/>
      <c r="G160" s="312"/>
      <c r="H160" s="313"/>
    </row>
    <row r="161" spans="2:8" x14ac:dyDescent="0.2">
      <c r="B161" s="239" t="s">
        <v>666</v>
      </c>
      <c r="C161" s="99" t="s">
        <v>123</v>
      </c>
      <c r="D161" s="100"/>
      <c r="E161" s="311">
        <v>1</v>
      </c>
      <c r="F161" s="312"/>
      <c r="G161" s="312"/>
      <c r="H161" s="313"/>
    </row>
    <row r="162" spans="2:8" x14ac:dyDescent="0.2">
      <c r="B162" s="314" t="s">
        <v>10</v>
      </c>
      <c r="C162" s="315"/>
      <c r="D162" s="315"/>
      <c r="E162" s="315"/>
      <c r="F162" s="315"/>
      <c r="G162" s="316"/>
      <c r="H162" s="117">
        <f>SUM(E157:H161)</f>
        <v>7</v>
      </c>
    </row>
    <row r="163" spans="2:8" s="96" customFormat="1" x14ac:dyDescent="0.2">
      <c r="B163" s="124" t="str">
        <f>Orçamento!B51</f>
        <v>5.6</v>
      </c>
      <c r="C163" s="120" t="str">
        <f>Orçamento!E51</f>
        <v xml:space="preserve">PORTA PAPEL HIGIENICO EM INOX </v>
      </c>
      <c r="D163" s="92" t="s">
        <v>119</v>
      </c>
      <c r="E163" s="326"/>
      <c r="F163" s="356"/>
      <c r="G163" s="356"/>
      <c r="H163" s="327"/>
    </row>
    <row r="164" spans="2:8" x14ac:dyDescent="0.2">
      <c r="B164" s="239" t="s">
        <v>628</v>
      </c>
      <c r="C164" s="99" t="s">
        <v>81</v>
      </c>
      <c r="D164" s="103"/>
      <c r="E164" s="311">
        <v>1</v>
      </c>
      <c r="F164" s="312"/>
      <c r="G164" s="312"/>
      <c r="H164" s="313"/>
    </row>
    <row r="165" spans="2:8" x14ac:dyDescent="0.2">
      <c r="B165" s="239" t="s">
        <v>667</v>
      </c>
      <c r="C165" s="99" t="s">
        <v>72</v>
      </c>
      <c r="D165" s="100"/>
      <c r="E165" s="311">
        <v>2</v>
      </c>
      <c r="F165" s="312"/>
      <c r="G165" s="312"/>
      <c r="H165" s="313"/>
    </row>
    <row r="166" spans="2:8" x14ac:dyDescent="0.2">
      <c r="B166" s="239" t="s">
        <v>668</v>
      </c>
      <c r="C166" s="99" t="s">
        <v>107</v>
      </c>
      <c r="D166" s="100"/>
      <c r="E166" s="311">
        <v>2</v>
      </c>
      <c r="F166" s="312"/>
      <c r="G166" s="312"/>
      <c r="H166" s="313"/>
    </row>
    <row r="167" spans="2:8" x14ac:dyDescent="0.2">
      <c r="B167" s="239" t="s">
        <v>669</v>
      </c>
      <c r="C167" s="99" t="s">
        <v>122</v>
      </c>
      <c r="D167" s="100"/>
      <c r="E167" s="311">
        <v>1</v>
      </c>
      <c r="F167" s="312"/>
      <c r="G167" s="312"/>
      <c r="H167" s="313"/>
    </row>
    <row r="168" spans="2:8" x14ac:dyDescent="0.2">
      <c r="B168" s="239" t="s">
        <v>670</v>
      </c>
      <c r="C168" s="99" t="s">
        <v>123</v>
      </c>
      <c r="D168" s="100"/>
      <c r="E168" s="311">
        <v>1</v>
      </c>
      <c r="F168" s="312"/>
      <c r="G168" s="312"/>
      <c r="H168" s="313"/>
    </row>
    <row r="169" spans="2:8" x14ac:dyDescent="0.2">
      <c r="B169" s="314" t="s">
        <v>10</v>
      </c>
      <c r="C169" s="315"/>
      <c r="D169" s="315"/>
      <c r="E169" s="315"/>
      <c r="F169" s="315"/>
      <c r="G169" s="316"/>
      <c r="H169" s="117">
        <f>SUM(E164:H168)</f>
        <v>7</v>
      </c>
    </row>
    <row r="170" spans="2:8" s="96" customFormat="1" x14ac:dyDescent="0.2">
      <c r="B170" s="124" t="str">
        <f>Orçamento!B52</f>
        <v>5.7</v>
      </c>
      <c r="C170" s="120" t="str">
        <f>Orçamento!E52</f>
        <v xml:space="preserve">LAVATÓRIO MÉDIO SEM COLUNA </v>
      </c>
      <c r="D170" s="92" t="s">
        <v>119</v>
      </c>
      <c r="E170" s="326"/>
      <c r="F170" s="356"/>
      <c r="G170" s="356"/>
      <c r="H170" s="327"/>
    </row>
    <row r="171" spans="2:8" x14ac:dyDescent="0.2">
      <c r="B171" s="239" t="s">
        <v>393</v>
      </c>
      <c r="C171" s="99" t="s">
        <v>122</v>
      </c>
      <c r="D171" s="100"/>
      <c r="E171" s="311">
        <v>1</v>
      </c>
      <c r="F171" s="312"/>
      <c r="G171" s="312"/>
      <c r="H171" s="313"/>
    </row>
    <row r="172" spans="2:8" x14ac:dyDescent="0.2">
      <c r="B172" s="239" t="s">
        <v>394</v>
      </c>
      <c r="C172" s="99" t="s">
        <v>123</v>
      </c>
      <c r="D172" s="100"/>
      <c r="E172" s="311">
        <v>1</v>
      </c>
      <c r="F172" s="312"/>
      <c r="G172" s="312"/>
      <c r="H172" s="313"/>
    </row>
    <row r="173" spans="2:8" x14ac:dyDescent="0.2">
      <c r="B173" s="310" t="s">
        <v>10</v>
      </c>
      <c r="C173" s="310"/>
      <c r="D173" s="310"/>
      <c r="E173" s="310"/>
      <c r="F173" s="310"/>
      <c r="G173" s="310"/>
      <c r="H173" s="117">
        <f>SUM(E171:H172)</f>
        <v>2</v>
      </c>
    </row>
    <row r="174" spans="2:8" s="96" customFormat="1" x14ac:dyDescent="0.2">
      <c r="B174" s="124" t="str">
        <f>Orçamento!B53</f>
        <v>5.8</v>
      </c>
      <c r="C174" s="120" t="str">
        <f>Orçamento!E53</f>
        <v xml:space="preserve">TORNEIRA PARA LAVATÓRIO DIÂMETRO 1/2" </v>
      </c>
      <c r="D174" s="92" t="s">
        <v>119</v>
      </c>
      <c r="E174" s="326"/>
      <c r="F174" s="356"/>
      <c r="G174" s="356"/>
      <c r="H174" s="327"/>
    </row>
    <row r="175" spans="2:8" x14ac:dyDescent="0.2">
      <c r="B175" s="239" t="s">
        <v>395</v>
      </c>
      <c r="C175" s="99" t="s">
        <v>81</v>
      </c>
      <c r="D175" s="100"/>
      <c r="E175" s="311">
        <v>1</v>
      </c>
      <c r="F175" s="312"/>
      <c r="G175" s="312"/>
      <c r="H175" s="313"/>
    </row>
    <row r="176" spans="2:8" x14ac:dyDescent="0.2">
      <c r="B176" s="239" t="s">
        <v>396</v>
      </c>
      <c r="C176" s="99" t="s">
        <v>72</v>
      </c>
      <c r="D176" s="100"/>
      <c r="E176" s="311">
        <v>1</v>
      </c>
      <c r="F176" s="312"/>
      <c r="G176" s="312"/>
      <c r="H176" s="313"/>
    </row>
    <row r="177" spans="2:8" x14ac:dyDescent="0.2">
      <c r="B177" s="239" t="s">
        <v>671</v>
      </c>
      <c r="C177" s="99" t="s">
        <v>122</v>
      </c>
      <c r="D177" s="100"/>
      <c r="E177" s="311">
        <v>1</v>
      </c>
      <c r="F177" s="312"/>
      <c r="G177" s="312"/>
      <c r="H177" s="313"/>
    </row>
    <row r="178" spans="2:8" x14ac:dyDescent="0.2">
      <c r="B178" s="239" t="s">
        <v>672</v>
      </c>
      <c r="C178" s="99" t="s">
        <v>123</v>
      </c>
      <c r="D178" s="100"/>
      <c r="E178" s="311">
        <v>1</v>
      </c>
      <c r="F178" s="312"/>
      <c r="G178" s="312"/>
      <c r="H178" s="313"/>
    </row>
    <row r="179" spans="2:8" x14ac:dyDescent="0.2">
      <c r="B179" s="310" t="s">
        <v>10</v>
      </c>
      <c r="C179" s="310"/>
      <c r="D179" s="310"/>
      <c r="E179" s="310"/>
      <c r="F179" s="310"/>
      <c r="G179" s="310"/>
      <c r="H179" s="117">
        <f>SUM(E175:H178)</f>
        <v>4</v>
      </c>
    </row>
    <row r="180" spans="2:8" s="96" customFormat="1" x14ac:dyDescent="0.2">
      <c r="B180" s="124" t="str">
        <f>Orçamento!B54</f>
        <v>5.9</v>
      </c>
      <c r="C180" s="120" t="str">
        <f>Orçamento!E54</f>
        <v xml:space="preserve">MICTORIO DE LOUCA C/SIFAO INTEGRADO </v>
      </c>
      <c r="D180" s="92" t="s">
        <v>119</v>
      </c>
      <c r="E180" s="326"/>
      <c r="F180" s="356"/>
      <c r="G180" s="356"/>
      <c r="H180" s="327"/>
    </row>
    <row r="181" spans="2:8" x14ac:dyDescent="0.2">
      <c r="B181" s="239" t="s">
        <v>629</v>
      </c>
      <c r="C181" s="99" t="s">
        <v>107</v>
      </c>
      <c r="D181" s="100"/>
      <c r="E181" s="311">
        <v>2</v>
      </c>
      <c r="F181" s="312"/>
      <c r="G181" s="312"/>
      <c r="H181" s="313"/>
    </row>
    <row r="182" spans="2:8" x14ac:dyDescent="0.2">
      <c r="B182" s="310" t="s">
        <v>10</v>
      </c>
      <c r="C182" s="310"/>
      <c r="D182" s="310"/>
      <c r="E182" s="310"/>
      <c r="F182" s="310"/>
      <c r="G182" s="310"/>
      <c r="H182" s="117">
        <f>SUM(E181)</f>
        <v>2</v>
      </c>
    </row>
    <row r="183" spans="2:8" s="96" customFormat="1" x14ac:dyDescent="0.2">
      <c r="B183" s="124" t="str">
        <f>Orçamento!B55</f>
        <v>5.10</v>
      </c>
      <c r="C183" s="120" t="str">
        <f>Orçamento!E55</f>
        <v xml:space="preserve">SIFAO P/PIA 1.1/2"X2" PVC CROMADO </v>
      </c>
      <c r="D183" s="92" t="s">
        <v>119</v>
      </c>
      <c r="E183" s="326"/>
      <c r="F183" s="356"/>
      <c r="G183" s="356"/>
      <c r="H183" s="327"/>
    </row>
    <row r="184" spans="2:8" x14ac:dyDescent="0.2">
      <c r="B184" s="239" t="s">
        <v>397</v>
      </c>
      <c r="C184" s="99" t="s">
        <v>103</v>
      </c>
      <c r="D184" s="100"/>
      <c r="E184" s="311">
        <v>1</v>
      </c>
      <c r="F184" s="312"/>
      <c r="G184" s="312"/>
      <c r="H184" s="313"/>
    </row>
    <row r="185" spans="2:8" x14ac:dyDescent="0.2">
      <c r="B185" s="239" t="s">
        <v>673</v>
      </c>
      <c r="C185" s="99" t="s">
        <v>80</v>
      </c>
      <c r="D185" s="100"/>
      <c r="E185" s="311">
        <v>1</v>
      </c>
      <c r="F185" s="312"/>
      <c r="G185" s="312"/>
      <c r="H185" s="313"/>
    </row>
    <row r="186" spans="2:8" x14ac:dyDescent="0.2">
      <c r="B186" s="310" t="s">
        <v>10</v>
      </c>
      <c r="C186" s="310"/>
      <c r="D186" s="310"/>
      <c r="E186" s="310"/>
      <c r="F186" s="310"/>
      <c r="G186" s="310"/>
      <c r="H186" s="117">
        <f>SUM(E184:H185)</f>
        <v>2</v>
      </c>
    </row>
    <row r="187" spans="2:8" s="96" customFormat="1" x14ac:dyDescent="0.2">
      <c r="B187" s="124" t="str">
        <f>Orçamento!B56</f>
        <v>5.11</v>
      </c>
      <c r="C187" s="120" t="str">
        <f>Orçamento!E56</f>
        <v xml:space="preserve">TORNEIRA P/PIA DIAM. 1/2" E 3/4" DE MESA - BICA MÓVEL </v>
      </c>
      <c r="D187" s="92" t="s">
        <v>119</v>
      </c>
      <c r="E187" s="326"/>
      <c r="F187" s="356"/>
      <c r="G187" s="356"/>
      <c r="H187" s="327"/>
    </row>
    <row r="188" spans="2:8" x14ac:dyDescent="0.2">
      <c r="B188" s="239" t="s">
        <v>630</v>
      </c>
      <c r="C188" s="99" t="s">
        <v>103</v>
      </c>
      <c r="D188" s="100"/>
      <c r="E188" s="311">
        <v>1</v>
      </c>
      <c r="F188" s="312"/>
      <c r="G188" s="312"/>
      <c r="H188" s="313"/>
    </row>
    <row r="189" spans="2:8" x14ac:dyDescent="0.2">
      <c r="B189" s="239" t="s">
        <v>674</v>
      </c>
      <c r="C189" s="99" t="s">
        <v>80</v>
      </c>
      <c r="D189" s="100"/>
      <c r="E189" s="311">
        <v>1</v>
      </c>
      <c r="F189" s="312"/>
      <c r="G189" s="312"/>
      <c r="H189" s="313"/>
    </row>
    <row r="190" spans="2:8" x14ac:dyDescent="0.2">
      <c r="B190" s="310" t="s">
        <v>10</v>
      </c>
      <c r="C190" s="310"/>
      <c r="D190" s="310"/>
      <c r="E190" s="310"/>
      <c r="F190" s="310"/>
      <c r="G190" s="310"/>
      <c r="H190" s="117">
        <f>SUM(E188:H189)</f>
        <v>2</v>
      </c>
    </row>
    <row r="191" spans="2:8" s="96" customFormat="1" x14ac:dyDescent="0.2">
      <c r="B191" s="124" t="str">
        <f>Orçamento!B57</f>
        <v>5.12</v>
      </c>
      <c r="C191" s="134" t="str">
        <f>Orçamento!E57</f>
        <v xml:space="preserve">REGISTRO GAVETA BRUTO DIAMETRO 1/2" </v>
      </c>
      <c r="D191" s="92" t="s">
        <v>119</v>
      </c>
      <c r="E191" s="400"/>
      <c r="F191" s="401"/>
      <c r="G191" s="401"/>
      <c r="H191" s="402"/>
    </row>
    <row r="192" spans="2:8" x14ac:dyDescent="0.2">
      <c r="B192" s="239" t="s">
        <v>398</v>
      </c>
      <c r="C192" s="209" t="s">
        <v>646</v>
      </c>
      <c r="D192" s="100"/>
      <c r="E192" s="311">
        <v>3</v>
      </c>
      <c r="F192" s="312"/>
      <c r="G192" s="312"/>
      <c r="H192" s="313"/>
    </row>
    <row r="193" spans="2:8" x14ac:dyDescent="0.2">
      <c r="B193" s="310" t="s">
        <v>10</v>
      </c>
      <c r="C193" s="310"/>
      <c r="D193" s="310"/>
      <c r="E193" s="310"/>
      <c r="F193" s="310"/>
      <c r="G193" s="310"/>
      <c r="H193" s="117">
        <f>SUM(E192)</f>
        <v>3</v>
      </c>
    </row>
    <row r="194" spans="2:8" s="96" customFormat="1" x14ac:dyDescent="0.2">
      <c r="B194" s="124" t="str">
        <f>Orçamento!B58</f>
        <v>5.13</v>
      </c>
      <c r="C194" s="134" t="str">
        <f>Orçamento!E58</f>
        <v xml:space="preserve">REGISTRO DE ESFERA DIAM.1/2" </v>
      </c>
      <c r="D194" s="92" t="s">
        <v>119</v>
      </c>
      <c r="E194" s="400"/>
      <c r="F194" s="401"/>
      <c r="G194" s="401"/>
      <c r="H194" s="402"/>
    </row>
    <row r="195" spans="2:8" x14ac:dyDescent="0.2">
      <c r="B195" s="239" t="s">
        <v>399</v>
      </c>
      <c r="C195" s="209" t="s">
        <v>646</v>
      </c>
      <c r="D195" s="100"/>
      <c r="E195" s="311">
        <v>1</v>
      </c>
      <c r="F195" s="312"/>
      <c r="G195" s="312"/>
      <c r="H195" s="313"/>
    </row>
    <row r="196" spans="2:8" x14ac:dyDescent="0.2">
      <c r="B196" s="314" t="s">
        <v>10</v>
      </c>
      <c r="C196" s="315"/>
      <c r="D196" s="315"/>
      <c r="E196" s="315"/>
      <c r="F196" s="315"/>
      <c r="G196" s="316"/>
      <c r="H196" s="117">
        <f>SUM(E195)</f>
        <v>1</v>
      </c>
    </row>
    <row r="197" spans="2:8" s="96" customFormat="1" ht="14" customHeight="1" x14ac:dyDescent="0.2">
      <c r="B197" s="124" t="str">
        <f>Orçamento!B59</f>
        <v>5.14</v>
      </c>
      <c r="C197" s="134" t="str">
        <f>Orçamento!E59</f>
        <v>TUBO SOLDAVEL PVC MARROM DIAMETRO 25 mm</v>
      </c>
      <c r="D197" s="31" t="s">
        <v>98</v>
      </c>
      <c r="E197" s="364"/>
      <c r="F197" s="403"/>
      <c r="G197" s="403"/>
      <c r="H197" s="365"/>
    </row>
    <row r="198" spans="2:8" ht="28.5" customHeight="1" x14ac:dyDescent="0.2">
      <c r="B198" s="239" t="s">
        <v>631</v>
      </c>
      <c r="C198" s="209" t="s">
        <v>646</v>
      </c>
      <c r="D198" s="12"/>
      <c r="E198" s="335" t="s">
        <v>249</v>
      </c>
      <c r="F198" s="336"/>
      <c r="G198" s="336"/>
      <c r="H198" s="337"/>
    </row>
    <row r="199" spans="2:8" x14ac:dyDescent="0.2">
      <c r="B199" s="314" t="s">
        <v>10</v>
      </c>
      <c r="C199" s="315"/>
      <c r="D199" s="315"/>
      <c r="E199" s="315"/>
      <c r="F199" s="315"/>
      <c r="G199" s="316"/>
      <c r="H199" s="85">
        <f>0.37+1.05+2.2+0.48+1+0.7+0.68+0.3+0.5+0.75+0.15+2.6+1.28+0.65+0.15+2.4+0.15+2.4+3+0.15+1</f>
        <v>21.959999999999997</v>
      </c>
    </row>
    <row r="200" spans="2:8" s="96" customFormat="1" x14ac:dyDescent="0.2">
      <c r="B200" s="124" t="str">
        <f>Orçamento!B60</f>
        <v>5.15</v>
      </c>
      <c r="C200" s="134" t="str">
        <f>Orçamento!E60</f>
        <v xml:space="preserve">TUBO SOLDAVEL PVC MARROM DIAM. 50 mm </v>
      </c>
      <c r="D200" s="31" t="s">
        <v>61</v>
      </c>
    </row>
    <row r="201" spans="2:8" x14ac:dyDescent="0.2">
      <c r="B201" s="239" t="s">
        <v>611</v>
      </c>
      <c r="C201" s="209" t="s">
        <v>646</v>
      </c>
      <c r="D201" s="12"/>
      <c r="E201" s="323">
        <v>0.8</v>
      </c>
      <c r="F201" s="324"/>
      <c r="G201" s="324"/>
      <c r="H201" s="325"/>
    </row>
    <row r="202" spans="2:8" x14ac:dyDescent="0.2">
      <c r="B202" s="314" t="s">
        <v>10</v>
      </c>
      <c r="C202" s="315"/>
      <c r="D202" s="315"/>
      <c r="E202" s="315"/>
      <c r="F202" s="315"/>
      <c r="G202" s="316"/>
      <c r="H202" s="85">
        <f>E201</f>
        <v>0.8</v>
      </c>
    </row>
    <row r="203" spans="2:8" s="96" customFormat="1" x14ac:dyDescent="0.2">
      <c r="B203" s="124" t="str">
        <f>Orçamento!B61</f>
        <v>5.16</v>
      </c>
      <c r="C203" s="134" t="str">
        <f>Orçamento!E61</f>
        <v xml:space="preserve">ADAPTAD.PVC SOLD.LONGO C/FLANGES LIVRES P/CX.DAGUA 25X3/4" </v>
      </c>
      <c r="D203" s="92" t="s">
        <v>119</v>
      </c>
    </row>
    <row r="204" spans="2:8" x14ac:dyDescent="0.2">
      <c r="B204" s="239" t="s">
        <v>612</v>
      </c>
      <c r="C204" s="209" t="s">
        <v>646</v>
      </c>
      <c r="D204" s="12"/>
      <c r="E204" s="311">
        <v>4</v>
      </c>
      <c r="F204" s="312"/>
      <c r="G204" s="312"/>
      <c r="H204" s="313"/>
    </row>
    <row r="205" spans="2:8" x14ac:dyDescent="0.2">
      <c r="B205" s="314" t="s">
        <v>10</v>
      </c>
      <c r="C205" s="315"/>
      <c r="D205" s="315"/>
      <c r="E205" s="315"/>
      <c r="F205" s="315"/>
      <c r="G205" s="316"/>
      <c r="H205" s="117">
        <f>E204</f>
        <v>4</v>
      </c>
    </row>
    <row r="206" spans="2:8" s="96" customFormat="1" x14ac:dyDescent="0.2">
      <c r="B206" s="124" t="str">
        <f>Orçamento!B62</f>
        <v>5.17</v>
      </c>
      <c r="C206" s="134" t="str">
        <f>Orçamento!E62</f>
        <v xml:space="preserve">JOELHO 90 GRAUS SOLDAVEL DIAMETRO 25 MM </v>
      </c>
      <c r="D206" s="92" t="s">
        <v>119</v>
      </c>
    </row>
    <row r="207" spans="2:8" x14ac:dyDescent="0.2">
      <c r="B207" s="239" t="s">
        <v>632</v>
      </c>
      <c r="C207" s="209" t="s">
        <v>646</v>
      </c>
      <c r="D207" s="12"/>
      <c r="E207" s="311">
        <v>8</v>
      </c>
      <c r="F207" s="312"/>
      <c r="G207" s="312"/>
      <c r="H207" s="313"/>
    </row>
    <row r="208" spans="2:8" x14ac:dyDescent="0.2">
      <c r="B208" s="314" t="s">
        <v>10</v>
      </c>
      <c r="C208" s="315"/>
      <c r="D208" s="315"/>
      <c r="E208" s="315"/>
      <c r="F208" s="315"/>
      <c r="G208" s="316"/>
      <c r="H208" s="117">
        <f>E207</f>
        <v>8</v>
      </c>
    </row>
    <row r="209" spans="2:8" s="96" customFormat="1" x14ac:dyDescent="0.2">
      <c r="B209" s="124" t="str">
        <f>Orçamento!B63</f>
        <v>5.18</v>
      </c>
      <c r="C209" s="134" t="str">
        <f>Orçamento!E63</f>
        <v xml:space="preserve">JOELHO 90 GRAUS SOLDAVEL 50 mm (MARROM) </v>
      </c>
      <c r="D209" s="92" t="s">
        <v>119</v>
      </c>
      <c r="E209" s="326"/>
      <c r="F209" s="356"/>
      <c r="G209" s="356"/>
      <c r="H209" s="327"/>
    </row>
    <row r="210" spans="2:8" x14ac:dyDescent="0.2">
      <c r="B210" s="239" t="s">
        <v>633</v>
      </c>
      <c r="C210" s="209" t="s">
        <v>646</v>
      </c>
      <c r="D210" s="12"/>
      <c r="E210" s="311">
        <v>1</v>
      </c>
      <c r="F210" s="312"/>
      <c r="G210" s="312"/>
      <c r="H210" s="313"/>
    </row>
    <row r="211" spans="2:8" x14ac:dyDescent="0.2">
      <c r="B211" s="314" t="s">
        <v>10</v>
      </c>
      <c r="C211" s="315"/>
      <c r="D211" s="315"/>
      <c r="E211" s="315"/>
      <c r="F211" s="315"/>
      <c r="G211" s="316"/>
      <c r="H211" s="117">
        <f>E210</f>
        <v>1</v>
      </c>
    </row>
    <row r="212" spans="2:8" s="96" customFormat="1" x14ac:dyDescent="0.2">
      <c r="B212" s="124" t="str">
        <f>Orçamento!B64</f>
        <v>5.19</v>
      </c>
      <c r="C212" s="120" t="str">
        <f>Orçamento!E64</f>
        <v xml:space="preserve">TE 90 GRAUS SOLDAVEL DIAMETRO 25 mm </v>
      </c>
      <c r="D212" s="92" t="s">
        <v>119</v>
      </c>
    </row>
    <row r="213" spans="2:8" x14ac:dyDescent="0.2">
      <c r="B213" s="239" t="s">
        <v>613</v>
      </c>
      <c r="C213" s="209" t="s">
        <v>646</v>
      </c>
      <c r="D213" s="12"/>
      <c r="E213" s="400">
        <v>5</v>
      </c>
      <c r="F213" s="401"/>
      <c r="G213" s="401"/>
      <c r="H213" s="402"/>
    </row>
    <row r="214" spans="2:8" x14ac:dyDescent="0.2">
      <c r="B214" s="314" t="s">
        <v>10</v>
      </c>
      <c r="C214" s="315"/>
      <c r="D214" s="315"/>
      <c r="E214" s="315"/>
      <c r="F214" s="315"/>
      <c r="G214" s="316"/>
      <c r="H214" s="117">
        <f>E213</f>
        <v>5</v>
      </c>
    </row>
    <row r="215" spans="2:8" s="96" customFormat="1" x14ac:dyDescent="0.2">
      <c r="B215" s="124" t="str">
        <f>Orçamento!B65</f>
        <v>5.20</v>
      </c>
      <c r="C215" s="120" t="str">
        <f>Orçamento!E65</f>
        <v>TE REDUCAO 90 GRAUS SOLDAVEL 50 X 25 mm</v>
      </c>
      <c r="D215" s="92" t="s">
        <v>119</v>
      </c>
    </row>
    <row r="216" spans="2:8" x14ac:dyDescent="0.2">
      <c r="B216" s="239" t="s">
        <v>614</v>
      </c>
      <c r="C216" s="209" t="s">
        <v>646</v>
      </c>
      <c r="D216" s="12"/>
      <c r="E216" s="400">
        <v>1</v>
      </c>
      <c r="F216" s="401"/>
      <c r="G216" s="401"/>
      <c r="H216" s="402"/>
    </row>
    <row r="217" spans="2:8" x14ac:dyDescent="0.2">
      <c r="B217" s="314" t="s">
        <v>10</v>
      </c>
      <c r="C217" s="315"/>
      <c r="D217" s="315"/>
      <c r="E217" s="315"/>
      <c r="F217" s="315"/>
      <c r="G217" s="316"/>
      <c r="H217" s="117">
        <f>E216</f>
        <v>1</v>
      </c>
    </row>
    <row r="218" spans="2:8" s="96" customFormat="1" x14ac:dyDescent="0.2">
      <c r="B218" s="124" t="str">
        <f>Orçamento!B66</f>
        <v>5.21</v>
      </c>
      <c r="C218" s="120" t="str">
        <f>Orçamento!E66</f>
        <v xml:space="preserve">CORPO CX. SIFONADA DIAM. 100 X 100 X 50 </v>
      </c>
      <c r="D218" s="92" t="s">
        <v>119</v>
      </c>
    </row>
    <row r="219" spans="2:8" x14ac:dyDescent="0.2">
      <c r="B219" s="239" t="s">
        <v>634</v>
      </c>
      <c r="C219" s="210" t="s">
        <v>647</v>
      </c>
      <c r="D219" s="12"/>
      <c r="E219" s="400">
        <v>1</v>
      </c>
      <c r="F219" s="401"/>
      <c r="G219" s="401"/>
      <c r="H219" s="402"/>
    </row>
    <row r="220" spans="2:8" x14ac:dyDescent="0.2">
      <c r="B220" s="314" t="s">
        <v>10</v>
      </c>
      <c r="C220" s="315"/>
      <c r="D220" s="315"/>
      <c r="E220" s="315"/>
      <c r="F220" s="315"/>
      <c r="G220" s="316"/>
      <c r="H220" s="117">
        <f>E219</f>
        <v>1</v>
      </c>
    </row>
    <row r="221" spans="2:8" s="96" customFormat="1" x14ac:dyDescent="0.2">
      <c r="B221" s="124" t="str">
        <f>Orçamento!B67</f>
        <v>5.22</v>
      </c>
      <c r="C221" s="120" t="str">
        <f>Orçamento!E67</f>
        <v xml:space="preserve">CORPO RALO SIFONADO CONICO DIAM. 100 X 40 </v>
      </c>
      <c r="D221" s="92" t="s">
        <v>119</v>
      </c>
    </row>
    <row r="222" spans="2:8" x14ac:dyDescent="0.2">
      <c r="B222" s="239" t="s">
        <v>615</v>
      </c>
      <c r="C222" s="210" t="s">
        <v>647</v>
      </c>
      <c r="D222" s="12"/>
      <c r="E222" s="400">
        <v>1</v>
      </c>
      <c r="F222" s="401"/>
      <c r="G222" s="401"/>
      <c r="H222" s="402"/>
    </row>
    <row r="223" spans="2:8" x14ac:dyDescent="0.2">
      <c r="B223" s="314" t="s">
        <v>10</v>
      </c>
      <c r="C223" s="315"/>
      <c r="D223" s="315"/>
      <c r="E223" s="315"/>
      <c r="F223" s="315"/>
      <c r="G223" s="316"/>
      <c r="H223" s="117">
        <f>E222</f>
        <v>1</v>
      </c>
    </row>
    <row r="224" spans="2:8" s="96" customFormat="1" x14ac:dyDescent="0.2">
      <c r="B224" s="124" t="str">
        <f>Orçamento!B68</f>
        <v>5.23</v>
      </c>
      <c r="C224" s="120" t="str">
        <f>Orçamento!E68</f>
        <v xml:space="preserve">JOELHO 45 GRAUS DIAMETRO 50 MM </v>
      </c>
      <c r="D224" s="92" t="s">
        <v>119</v>
      </c>
    </row>
    <row r="225" spans="2:8" x14ac:dyDescent="0.2">
      <c r="B225" s="239" t="s">
        <v>635</v>
      </c>
      <c r="C225" s="210" t="s">
        <v>647</v>
      </c>
      <c r="D225" s="12"/>
      <c r="E225" s="400">
        <v>2</v>
      </c>
      <c r="F225" s="401"/>
      <c r="G225" s="401"/>
      <c r="H225" s="402"/>
    </row>
    <row r="226" spans="2:8" x14ac:dyDescent="0.2">
      <c r="B226" s="314" t="s">
        <v>10</v>
      </c>
      <c r="C226" s="315"/>
      <c r="D226" s="315"/>
      <c r="E226" s="315"/>
      <c r="F226" s="315"/>
      <c r="G226" s="316"/>
      <c r="H226" s="117">
        <f>E225</f>
        <v>2</v>
      </c>
    </row>
    <row r="227" spans="2:8" s="96" customFormat="1" x14ac:dyDescent="0.2">
      <c r="B227" s="124" t="str">
        <f>Orçamento!B69</f>
        <v>5.24</v>
      </c>
      <c r="C227" s="120" t="str">
        <f>Orçamento!E69</f>
        <v xml:space="preserve">JOELHO 45 GRAUS DIAMETRO 75 MM </v>
      </c>
      <c r="D227" s="92" t="s">
        <v>119</v>
      </c>
    </row>
    <row r="228" spans="2:8" x14ac:dyDescent="0.2">
      <c r="B228" s="239" t="s">
        <v>616</v>
      </c>
      <c r="C228" s="210" t="s">
        <v>647</v>
      </c>
      <c r="D228" s="12"/>
      <c r="E228" s="400">
        <v>1</v>
      </c>
      <c r="F228" s="401"/>
      <c r="G228" s="401"/>
      <c r="H228" s="402"/>
    </row>
    <row r="229" spans="2:8" x14ac:dyDescent="0.2">
      <c r="B229" s="314" t="s">
        <v>10</v>
      </c>
      <c r="C229" s="315"/>
      <c r="D229" s="315"/>
      <c r="E229" s="315"/>
      <c r="F229" s="315"/>
      <c r="G229" s="316"/>
      <c r="H229" s="117">
        <f>E228</f>
        <v>1</v>
      </c>
    </row>
    <row r="230" spans="2:8" s="96" customFormat="1" x14ac:dyDescent="0.2">
      <c r="B230" s="124" t="str">
        <f>Orçamento!B70</f>
        <v>5.25</v>
      </c>
      <c r="C230" s="120" t="str">
        <f>Orçamento!E70</f>
        <v xml:space="preserve">JOELHO 90 GRAUS DIAMETRO 40 MM </v>
      </c>
      <c r="D230" s="92" t="s">
        <v>119</v>
      </c>
    </row>
    <row r="231" spans="2:8" x14ac:dyDescent="0.2">
      <c r="B231" s="239" t="s">
        <v>617</v>
      </c>
      <c r="C231" s="210" t="s">
        <v>647</v>
      </c>
      <c r="D231" s="12"/>
      <c r="E231" s="400">
        <v>6</v>
      </c>
      <c r="F231" s="401"/>
      <c r="G231" s="401"/>
      <c r="H231" s="402"/>
    </row>
    <row r="232" spans="2:8" x14ac:dyDescent="0.2">
      <c r="B232" s="314" t="s">
        <v>10</v>
      </c>
      <c r="C232" s="315"/>
      <c r="D232" s="315"/>
      <c r="E232" s="315"/>
      <c r="F232" s="315"/>
      <c r="G232" s="316"/>
      <c r="H232" s="117">
        <f>E231</f>
        <v>6</v>
      </c>
    </row>
    <row r="233" spans="2:8" s="96" customFormat="1" x14ac:dyDescent="0.2">
      <c r="B233" s="124" t="str">
        <f>Orçamento!B71</f>
        <v>5.26</v>
      </c>
      <c r="C233" s="120" t="str">
        <f>Orçamento!E71</f>
        <v xml:space="preserve">JUNCAO SIMPLES DIAMETRO 50 X 50 MM </v>
      </c>
      <c r="D233" s="92" t="s">
        <v>119</v>
      </c>
    </row>
    <row r="234" spans="2:8" x14ac:dyDescent="0.2">
      <c r="B234" s="239" t="s">
        <v>636</v>
      </c>
      <c r="C234" s="210" t="s">
        <v>647</v>
      </c>
      <c r="D234" s="12"/>
      <c r="E234" s="400">
        <v>2</v>
      </c>
      <c r="F234" s="401"/>
      <c r="G234" s="401"/>
      <c r="H234" s="402"/>
    </row>
    <row r="235" spans="2:8" x14ac:dyDescent="0.2">
      <c r="B235" s="314" t="s">
        <v>10</v>
      </c>
      <c r="C235" s="315"/>
      <c r="D235" s="315"/>
      <c r="E235" s="315"/>
      <c r="F235" s="315"/>
      <c r="G235" s="316"/>
      <c r="H235" s="117">
        <f>E234</f>
        <v>2</v>
      </c>
    </row>
    <row r="236" spans="2:8" s="96" customFormat="1" x14ac:dyDescent="0.2">
      <c r="B236" s="124" t="str">
        <f>Orçamento!B72</f>
        <v>5.27</v>
      </c>
      <c r="C236" s="120" t="str">
        <f>Orçamento!E72</f>
        <v xml:space="preserve">JUNCAO SIMPLES DIAM. 100 X 100 MM </v>
      </c>
      <c r="D236" s="92" t="s">
        <v>119</v>
      </c>
    </row>
    <row r="237" spans="2:8" x14ac:dyDescent="0.2">
      <c r="B237" s="239" t="s">
        <v>618</v>
      </c>
      <c r="C237" s="210" t="s">
        <v>647</v>
      </c>
      <c r="D237" s="12"/>
      <c r="E237" s="400">
        <v>3</v>
      </c>
      <c r="F237" s="401"/>
      <c r="G237" s="401"/>
      <c r="H237" s="402"/>
    </row>
    <row r="238" spans="2:8" x14ac:dyDescent="0.2">
      <c r="B238" s="314" t="s">
        <v>10</v>
      </c>
      <c r="C238" s="315"/>
      <c r="D238" s="315"/>
      <c r="E238" s="315"/>
      <c r="F238" s="315"/>
      <c r="G238" s="316"/>
      <c r="H238" s="117">
        <f>E237</f>
        <v>3</v>
      </c>
    </row>
    <row r="239" spans="2:8" s="96" customFormat="1" x14ac:dyDescent="0.2">
      <c r="B239" s="124" t="str">
        <f>Orçamento!B73</f>
        <v>5.28</v>
      </c>
      <c r="C239" s="120" t="str">
        <f>Orçamento!E73</f>
        <v xml:space="preserve">LUVA SIMPLES DIAMETRO 40 MM </v>
      </c>
      <c r="D239" s="92" t="s">
        <v>119</v>
      </c>
    </row>
    <row r="240" spans="2:8" x14ac:dyDescent="0.2">
      <c r="B240" s="239" t="s">
        <v>619</v>
      </c>
      <c r="C240" s="210" t="s">
        <v>647</v>
      </c>
      <c r="D240" s="12"/>
      <c r="E240" s="400">
        <v>2</v>
      </c>
      <c r="F240" s="401"/>
      <c r="G240" s="401"/>
      <c r="H240" s="402"/>
    </row>
    <row r="241" spans="2:8" x14ac:dyDescent="0.2">
      <c r="B241" s="314" t="s">
        <v>10</v>
      </c>
      <c r="C241" s="315"/>
      <c r="D241" s="315"/>
      <c r="E241" s="315"/>
      <c r="F241" s="315"/>
      <c r="G241" s="316"/>
      <c r="H241" s="117">
        <f>E240</f>
        <v>2</v>
      </c>
    </row>
    <row r="242" spans="2:8" s="96" customFormat="1" x14ac:dyDescent="0.2">
      <c r="B242" s="92" t="str">
        <f>Orçamento!B74</f>
        <v>5.29</v>
      </c>
      <c r="C242" s="120" t="str">
        <f>Orçamento!E74</f>
        <v xml:space="preserve">TE 90 GRAUS DIAMETRO 40 MM - ESGOTO </v>
      </c>
      <c r="D242" s="92" t="s">
        <v>119</v>
      </c>
    </row>
    <row r="243" spans="2:8" x14ac:dyDescent="0.2">
      <c r="B243" s="239" t="s">
        <v>637</v>
      </c>
      <c r="C243" s="210" t="s">
        <v>647</v>
      </c>
      <c r="D243" s="12"/>
      <c r="E243" s="400">
        <v>1</v>
      </c>
      <c r="F243" s="401"/>
      <c r="G243" s="401"/>
      <c r="H243" s="402"/>
    </row>
    <row r="244" spans="2:8" x14ac:dyDescent="0.2">
      <c r="B244" s="314" t="s">
        <v>10</v>
      </c>
      <c r="C244" s="315"/>
      <c r="D244" s="315"/>
      <c r="E244" s="315"/>
      <c r="F244" s="315"/>
      <c r="G244" s="316"/>
      <c r="H244" s="117">
        <f>E243</f>
        <v>1</v>
      </c>
    </row>
    <row r="245" spans="2:8" s="96" customFormat="1" x14ac:dyDescent="0.2">
      <c r="B245" s="124" t="str">
        <f>Orçamento!B75</f>
        <v>5.30</v>
      </c>
      <c r="C245" s="120" t="str">
        <f>Orçamento!E75</f>
        <v xml:space="preserve">TUBO SOLD.P/ESGOTO DIAM. 40 MM </v>
      </c>
      <c r="D245" s="31" t="s">
        <v>61</v>
      </c>
    </row>
    <row r="246" spans="2:8" x14ac:dyDescent="0.2">
      <c r="B246" s="239" t="s">
        <v>638</v>
      </c>
      <c r="C246" s="210" t="s">
        <v>647</v>
      </c>
      <c r="D246" s="12"/>
      <c r="E246" s="347" t="s">
        <v>260</v>
      </c>
      <c r="F246" s="348"/>
      <c r="G246" s="348"/>
      <c r="H246" s="349"/>
    </row>
    <row r="247" spans="2:8" x14ac:dyDescent="0.2">
      <c r="B247" s="314" t="s">
        <v>10</v>
      </c>
      <c r="C247" s="315"/>
      <c r="D247" s="315"/>
      <c r="E247" s="315"/>
      <c r="F247" s="315"/>
      <c r="G247" s="316"/>
      <c r="H247" s="85">
        <f>0.25+1.48+0.44+0.23+1.48+0.43+1.2</f>
        <v>5.51</v>
      </c>
    </row>
    <row r="248" spans="2:8" s="96" customFormat="1" x14ac:dyDescent="0.2">
      <c r="B248" s="124" t="str">
        <f>Orçamento!B76</f>
        <v>5.31</v>
      </c>
      <c r="C248" s="120" t="str">
        <f>Orçamento!E76</f>
        <v xml:space="preserve">TUBO SOLD. P/ESGOTO DIAM. 50 MM </v>
      </c>
      <c r="D248" s="31" t="s">
        <v>61</v>
      </c>
      <c r="E248" s="136"/>
      <c r="F248" s="137"/>
      <c r="G248" s="137"/>
      <c r="H248" s="137"/>
    </row>
    <row r="249" spans="2:8" x14ac:dyDescent="0.2">
      <c r="B249" s="239" t="s">
        <v>620</v>
      </c>
      <c r="C249" s="210" t="s">
        <v>647</v>
      </c>
      <c r="D249" s="12"/>
      <c r="E249" s="323" t="s">
        <v>261</v>
      </c>
      <c r="F249" s="324"/>
      <c r="G249" s="324"/>
      <c r="H249" s="325"/>
    </row>
    <row r="250" spans="2:8" x14ac:dyDescent="0.2">
      <c r="B250" s="314" t="s">
        <v>10</v>
      </c>
      <c r="C250" s="315"/>
      <c r="D250" s="315"/>
      <c r="E250" s="315"/>
      <c r="F250" s="315"/>
      <c r="G250" s="316"/>
      <c r="H250" s="85">
        <f>1.52+3</f>
        <v>4.5199999999999996</v>
      </c>
    </row>
    <row r="251" spans="2:8" s="96" customFormat="1" x14ac:dyDescent="0.2">
      <c r="B251" s="124" t="str">
        <f>Orçamento!B77</f>
        <v>5.32</v>
      </c>
      <c r="C251" s="120" t="str">
        <f>Orçamento!E77</f>
        <v xml:space="preserve">TUBO SOLDAVEL P/ESGOTO DIAM.75 MM </v>
      </c>
      <c r="D251" s="31" t="s">
        <v>61</v>
      </c>
      <c r="E251" s="136"/>
      <c r="F251" s="137"/>
      <c r="G251" s="137"/>
      <c r="H251" s="137"/>
    </row>
    <row r="252" spans="2:8" x14ac:dyDescent="0.2">
      <c r="B252" s="239" t="s">
        <v>675</v>
      </c>
      <c r="C252" s="210" t="s">
        <v>647</v>
      </c>
      <c r="D252" s="12"/>
      <c r="E252" s="323" t="s">
        <v>262</v>
      </c>
      <c r="F252" s="324"/>
      <c r="G252" s="324"/>
      <c r="H252" s="325"/>
    </row>
    <row r="253" spans="2:8" x14ac:dyDescent="0.2">
      <c r="B253" s="314" t="s">
        <v>10</v>
      </c>
      <c r="C253" s="315"/>
      <c r="D253" s="315"/>
      <c r="E253" s="315"/>
      <c r="F253" s="315"/>
      <c r="G253" s="316"/>
      <c r="H253" s="85">
        <f>0.5+0.2+0.25+0.2</f>
        <v>1.1499999999999999</v>
      </c>
    </row>
    <row r="254" spans="2:8" s="96" customFormat="1" x14ac:dyDescent="0.2">
      <c r="B254" s="124" t="str">
        <f>Orçamento!B78</f>
        <v>5.33</v>
      </c>
      <c r="C254" s="120" t="str">
        <f>Orçamento!E78</f>
        <v xml:space="preserve">TUBO SOLDAVEL P/ESGOTO DIAM. 100 MM </v>
      </c>
      <c r="D254" s="31" t="s">
        <v>61</v>
      </c>
      <c r="E254" s="136"/>
      <c r="F254" s="137"/>
      <c r="G254" s="137"/>
      <c r="H254" s="137"/>
    </row>
    <row r="255" spans="2:8" x14ac:dyDescent="0.2">
      <c r="B255" s="239" t="s">
        <v>676</v>
      </c>
      <c r="C255" s="210" t="s">
        <v>647</v>
      </c>
      <c r="D255" s="12"/>
      <c r="E255" s="323">
        <v>5</v>
      </c>
      <c r="F255" s="324"/>
      <c r="G255" s="324"/>
      <c r="H255" s="325"/>
    </row>
    <row r="256" spans="2:8" x14ac:dyDescent="0.2">
      <c r="B256" s="314" t="s">
        <v>10</v>
      </c>
      <c r="C256" s="315"/>
      <c r="D256" s="315"/>
      <c r="E256" s="315"/>
      <c r="F256" s="315"/>
      <c r="G256" s="316"/>
      <c r="H256" s="85">
        <f>E255</f>
        <v>5</v>
      </c>
    </row>
    <row r="257" spans="2:8" s="96" customFormat="1" x14ac:dyDescent="0.2">
      <c r="B257" s="92" t="str">
        <f>Orçamento!B79</f>
        <v>5.34</v>
      </c>
      <c r="C257" s="127" t="str">
        <f>Orçamento!E79</f>
        <v xml:space="preserve">CAIXA DAGUA POLIETILENO 500 LTS.C/TAMPA </v>
      </c>
      <c r="D257" s="92" t="s">
        <v>119</v>
      </c>
      <c r="E257" s="136"/>
      <c r="F257" s="137"/>
      <c r="G257" s="137"/>
      <c r="H257" s="137"/>
    </row>
    <row r="258" spans="2:8" x14ac:dyDescent="0.2">
      <c r="B258" s="239" t="s">
        <v>677</v>
      </c>
      <c r="C258" s="210" t="s">
        <v>647</v>
      </c>
      <c r="D258" s="12"/>
      <c r="E258" s="311">
        <v>1</v>
      </c>
      <c r="F258" s="312"/>
      <c r="G258" s="312"/>
      <c r="H258" s="313"/>
    </row>
    <row r="259" spans="2:8" ht="15" thickBot="1" x14ac:dyDescent="0.25">
      <c r="B259" s="317" t="s">
        <v>10</v>
      </c>
      <c r="C259" s="318"/>
      <c r="D259" s="318"/>
      <c r="E259" s="318"/>
      <c r="F259" s="318"/>
      <c r="G259" s="319"/>
      <c r="H259" s="131">
        <f>E258</f>
        <v>1</v>
      </c>
    </row>
    <row r="260" spans="2:8" ht="15" customHeight="1" thickBot="1" x14ac:dyDescent="0.25">
      <c r="B260" s="281" t="s">
        <v>137</v>
      </c>
      <c r="C260" s="282"/>
      <c r="D260" s="282"/>
      <c r="E260" s="282"/>
      <c r="F260" s="282"/>
      <c r="G260" s="282"/>
      <c r="H260" s="283"/>
    </row>
    <row r="261" spans="2:8" s="96" customFormat="1" ht="28" x14ac:dyDescent="0.2">
      <c r="B261" s="124" t="s">
        <v>14</v>
      </c>
      <c r="C261" s="129" t="str">
        <f>Orçamento!E82</f>
        <v>ALVENARIA DE TIJOLO FURADO 1/2 VEZ 14X29X9 - 6 FUROS - ARG. (1CALH:4ARML+100KG DE CI/M3)</v>
      </c>
      <c r="D261" s="137" t="s">
        <v>8</v>
      </c>
      <c r="E261" s="326" t="s">
        <v>74</v>
      </c>
      <c r="F261" s="327"/>
      <c r="G261" s="92" t="s">
        <v>79</v>
      </c>
      <c r="H261" s="92" t="s">
        <v>141</v>
      </c>
    </row>
    <row r="262" spans="2:8" x14ac:dyDescent="0.2">
      <c r="B262" s="108" t="s">
        <v>400</v>
      </c>
      <c r="C262" s="99" t="s">
        <v>138</v>
      </c>
      <c r="D262" s="100"/>
      <c r="E262" s="323" t="s">
        <v>210</v>
      </c>
      <c r="F262" s="325"/>
      <c r="G262" s="100">
        <v>3</v>
      </c>
      <c r="H262" s="100">
        <f>(1.5+2.15+2)*G262</f>
        <v>16.950000000000003</v>
      </c>
    </row>
    <row r="263" spans="2:8" x14ac:dyDescent="0.2">
      <c r="B263" s="107"/>
      <c r="C263" s="99" t="s">
        <v>143</v>
      </c>
      <c r="D263" s="100"/>
      <c r="E263" s="323">
        <v>0.6</v>
      </c>
      <c r="F263" s="325"/>
      <c r="G263" s="100">
        <v>0.6</v>
      </c>
      <c r="H263" s="100">
        <f>E263*G263</f>
        <v>0.36</v>
      </c>
    </row>
    <row r="264" spans="2:8" x14ac:dyDescent="0.2">
      <c r="B264" s="314" t="s">
        <v>145</v>
      </c>
      <c r="C264" s="315"/>
      <c r="D264" s="315"/>
      <c r="E264" s="315"/>
      <c r="F264" s="315"/>
      <c r="G264" s="316"/>
      <c r="H264" s="92">
        <f>H262-H263</f>
        <v>16.590000000000003</v>
      </c>
    </row>
    <row r="265" spans="2:8" x14ac:dyDescent="0.2">
      <c r="B265" s="108" t="s">
        <v>401</v>
      </c>
      <c r="C265" s="99" t="s">
        <v>139</v>
      </c>
      <c r="D265" s="100"/>
      <c r="E265" s="323" t="s">
        <v>211</v>
      </c>
      <c r="F265" s="325"/>
      <c r="G265" s="100">
        <v>3</v>
      </c>
      <c r="H265" s="100">
        <f>(2+1.8)*G265</f>
        <v>11.399999999999999</v>
      </c>
    </row>
    <row r="266" spans="2:8" ht="15.75" customHeight="1" x14ac:dyDescent="0.2">
      <c r="B266" s="107"/>
      <c r="C266" s="99" t="s">
        <v>143</v>
      </c>
      <c r="D266" s="100"/>
      <c r="E266" s="323">
        <v>0.6</v>
      </c>
      <c r="F266" s="325"/>
      <c r="G266" s="100">
        <v>0.6</v>
      </c>
      <c r="H266" s="100">
        <f>E266*G266</f>
        <v>0.36</v>
      </c>
    </row>
    <row r="267" spans="2:8" x14ac:dyDescent="0.2">
      <c r="B267" s="314" t="s">
        <v>145</v>
      </c>
      <c r="C267" s="315"/>
      <c r="D267" s="315"/>
      <c r="E267" s="315"/>
      <c r="F267" s="315"/>
      <c r="G267" s="316"/>
      <c r="H267" s="92">
        <f>H265-H266</f>
        <v>11.04</v>
      </c>
    </row>
    <row r="268" spans="2:8" x14ac:dyDescent="0.2">
      <c r="B268" s="108" t="s">
        <v>402</v>
      </c>
      <c r="C268" s="99" t="s">
        <v>140</v>
      </c>
      <c r="D268" s="100"/>
      <c r="E268" s="323" t="s">
        <v>142</v>
      </c>
      <c r="F268" s="325"/>
      <c r="G268" s="100">
        <v>3.5</v>
      </c>
      <c r="H268" s="100">
        <f>(1.89+2)*G268</f>
        <v>13.614999999999998</v>
      </c>
    </row>
    <row r="269" spans="2:8" x14ac:dyDescent="0.2">
      <c r="B269" s="107"/>
      <c r="C269" s="99" t="s">
        <v>143</v>
      </c>
      <c r="D269" s="100"/>
      <c r="E269" s="323">
        <v>0.8</v>
      </c>
      <c r="F269" s="325"/>
      <c r="G269" s="100">
        <v>0.5</v>
      </c>
      <c r="H269" s="100">
        <f>E269*G269</f>
        <v>0.4</v>
      </c>
    </row>
    <row r="270" spans="2:8" x14ac:dyDescent="0.2">
      <c r="B270" s="107"/>
      <c r="C270" s="99" t="s">
        <v>144</v>
      </c>
      <c r="D270" s="100"/>
      <c r="E270" s="323">
        <v>0.8</v>
      </c>
      <c r="F270" s="325"/>
      <c r="G270" s="100">
        <v>2.1</v>
      </c>
      <c r="H270" s="100">
        <f>E270*G270</f>
        <v>1.6800000000000002</v>
      </c>
    </row>
    <row r="271" spans="2:8" x14ac:dyDescent="0.2">
      <c r="B271" s="314" t="s">
        <v>145</v>
      </c>
      <c r="C271" s="315"/>
      <c r="D271" s="315"/>
      <c r="E271" s="315"/>
      <c r="F271" s="315"/>
      <c r="G271" s="316"/>
      <c r="H271" s="92">
        <f>H268-H269-H270</f>
        <v>11.534999999999998</v>
      </c>
    </row>
    <row r="272" spans="2:8" x14ac:dyDescent="0.2">
      <c r="B272" s="108" t="s">
        <v>403</v>
      </c>
      <c r="C272" s="99" t="s">
        <v>159</v>
      </c>
      <c r="D272" s="100"/>
      <c r="E272" s="360">
        <v>1.4</v>
      </c>
      <c r="F272" s="360"/>
      <c r="G272" s="100">
        <v>3</v>
      </c>
      <c r="H272" s="100">
        <f>E272*G272</f>
        <v>4.1999999999999993</v>
      </c>
    </row>
    <row r="273" spans="2:8" x14ac:dyDescent="0.2">
      <c r="B273" s="92"/>
      <c r="C273" s="99" t="s">
        <v>163</v>
      </c>
      <c r="D273" s="100"/>
      <c r="E273" s="360">
        <v>0.8</v>
      </c>
      <c r="F273" s="360"/>
      <c r="G273" s="100">
        <v>2.1</v>
      </c>
      <c r="H273" s="100">
        <f>E273*G273</f>
        <v>1.6800000000000002</v>
      </c>
    </row>
    <row r="274" spans="2:8" x14ac:dyDescent="0.2">
      <c r="B274" s="314" t="s">
        <v>145</v>
      </c>
      <c r="C274" s="315"/>
      <c r="D274" s="315"/>
      <c r="E274" s="315"/>
      <c r="F274" s="315"/>
      <c r="G274" s="316"/>
      <c r="H274" s="92">
        <f>H272-H273</f>
        <v>2.5199999999999991</v>
      </c>
    </row>
    <row r="275" spans="2:8" x14ac:dyDescent="0.2">
      <c r="B275" s="108" t="s">
        <v>404</v>
      </c>
      <c r="C275" s="104" t="s">
        <v>196</v>
      </c>
      <c r="D275" s="100"/>
      <c r="E275" s="323">
        <v>1.4</v>
      </c>
      <c r="F275" s="325"/>
      <c r="G275" s="100">
        <v>3</v>
      </c>
      <c r="H275" s="100">
        <f>G275*E275</f>
        <v>4.1999999999999993</v>
      </c>
    </row>
    <row r="276" spans="2:8" x14ac:dyDescent="0.2">
      <c r="B276" s="314" t="s">
        <v>145</v>
      </c>
      <c r="C276" s="315"/>
      <c r="D276" s="315"/>
      <c r="E276" s="315"/>
      <c r="F276" s="315"/>
      <c r="G276" s="316"/>
      <c r="H276" s="92">
        <f>H275</f>
        <v>4.1999999999999993</v>
      </c>
    </row>
    <row r="277" spans="2:8" x14ac:dyDescent="0.2">
      <c r="B277" s="108" t="s">
        <v>405</v>
      </c>
      <c r="C277" s="104" t="s">
        <v>73</v>
      </c>
      <c r="D277" s="100"/>
      <c r="E277" s="323"/>
      <c r="F277" s="325"/>
      <c r="G277" s="100"/>
      <c r="H277" s="100"/>
    </row>
    <row r="278" spans="2:8" x14ac:dyDescent="0.2">
      <c r="B278" s="92"/>
      <c r="C278" s="104" t="s">
        <v>206</v>
      </c>
      <c r="D278" s="100"/>
      <c r="E278" s="323">
        <v>0.8</v>
      </c>
      <c r="F278" s="325"/>
      <c r="G278" s="100">
        <v>3</v>
      </c>
      <c r="H278" s="100">
        <f>G278*E278</f>
        <v>2.4000000000000004</v>
      </c>
    </row>
    <row r="279" spans="2:8" x14ac:dyDescent="0.2">
      <c r="B279" s="92"/>
      <c r="C279" s="104" t="s">
        <v>175</v>
      </c>
      <c r="D279" s="100"/>
      <c r="E279" s="323">
        <v>0.8</v>
      </c>
      <c r="F279" s="325"/>
      <c r="G279" s="100">
        <v>2.1</v>
      </c>
      <c r="H279" s="100">
        <f>G279*E279</f>
        <v>1.6800000000000002</v>
      </c>
    </row>
    <row r="280" spans="2:8" x14ac:dyDescent="0.2">
      <c r="B280" s="314" t="s">
        <v>145</v>
      </c>
      <c r="C280" s="315"/>
      <c r="D280" s="315"/>
      <c r="E280" s="315"/>
      <c r="F280" s="315"/>
      <c r="G280" s="316"/>
      <c r="H280" s="92">
        <f>H278-H279</f>
        <v>0.7200000000000002</v>
      </c>
    </row>
    <row r="281" spans="2:8" x14ac:dyDescent="0.2">
      <c r="B281" s="314" t="s">
        <v>10</v>
      </c>
      <c r="C281" s="315"/>
      <c r="D281" s="315"/>
      <c r="E281" s="315"/>
      <c r="F281" s="315"/>
      <c r="G281" s="316"/>
      <c r="H281" s="85">
        <f>SUM(H271,H267,H264,H274,H276,H280)</f>
        <v>46.60499999999999</v>
      </c>
    </row>
    <row r="282" spans="2:8" x14ac:dyDescent="0.2">
      <c r="B282" s="124" t="s">
        <v>185</v>
      </c>
      <c r="C282" s="129" t="str">
        <f>Orçamento!E83</f>
        <v xml:space="preserve">DIVISORIA DE GRANITINA </v>
      </c>
      <c r="D282" s="116" t="s">
        <v>8</v>
      </c>
      <c r="E282" s="364" t="s">
        <v>79</v>
      </c>
      <c r="F282" s="365"/>
      <c r="G282" s="116" t="s">
        <v>75</v>
      </c>
      <c r="H282" s="116" t="s">
        <v>150</v>
      </c>
    </row>
    <row r="283" spans="2:8" x14ac:dyDescent="0.2">
      <c r="B283" s="211" t="s">
        <v>406</v>
      </c>
      <c r="C283" s="245" t="s">
        <v>92</v>
      </c>
      <c r="D283" s="114"/>
      <c r="E283" s="323">
        <v>1</v>
      </c>
      <c r="F283" s="325"/>
      <c r="G283" s="114">
        <v>0.55000000000000004</v>
      </c>
      <c r="H283" s="114">
        <f>G283*E283*2</f>
        <v>1.1000000000000001</v>
      </c>
    </row>
    <row r="284" spans="2:8" x14ac:dyDescent="0.2">
      <c r="B284" s="314" t="s">
        <v>10</v>
      </c>
      <c r="C284" s="315"/>
      <c r="D284" s="315"/>
      <c r="E284" s="315"/>
      <c r="F284" s="315"/>
      <c r="G284" s="316"/>
      <c r="H284" s="115">
        <f>SUM(H283)</f>
        <v>1.1000000000000001</v>
      </c>
    </row>
    <row r="285" spans="2:8" s="96" customFormat="1" x14ac:dyDescent="0.2">
      <c r="B285" s="212" t="s">
        <v>648</v>
      </c>
      <c r="C285" s="213" t="str">
        <f>Orçamento!E84</f>
        <v xml:space="preserve">ELEMENTO VAZADO DE CONCRETO </v>
      </c>
      <c r="D285" s="214" t="s">
        <v>8</v>
      </c>
      <c r="E285" s="394" t="s">
        <v>148</v>
      </c>
      <c r="F285" s="395"/>
      <c r="G285" s="214" t="s">
        <v>149</v>
      </c>
      <c r="H285" s="92" t="s">
        <v>150</v>
      </c>
    </row>
    <row r="286" spans="2:8" x14ac:dyDescent="0.2">
      <c r="B286" s="211" t="s">
        <v>650</v>
      </c>
      <c r="C286" s="102" t="s">
        <v>147</v>
      </c>
      <c r="D286" s="100"/>
      <c r="E286" s="323">
        <v>129.25</v>
      </c>
      <c r="F286" s="325"/>
      <c r="G286" s="100">
        <v>2</v>
      </c>
      <c r="H286" s="100">
        <f>G286*E286</f>
        <v>258.5</v>
      </c>
    </row>
    <row r="287" spans="2:8" ht="15" thickBot="1" x14ac:dyDescent="0.25">
      <c r="B287" s="317" t="s">
        <v>10</v>
      </c>
      <c r="C287" s="318"/>
      <c r="D287" s="318"/>
      <c r="E287" s="318"/>
      <c r="F287" s="318"/>
      <c r="G287" s="319"/>
      <c r="H287" s="87">
        <f>SUM(H286)</f>
        <v>258.5</v>
      </c>
    </row>
    <row r="288" spans="2:8" ht="15" customHeight="1" thickBot="1" x14ac:dyDescent="0.25">
      <c r="B288" s="281" t="s">
        <v>151</v>
      </c>
      <c r="C288" s="282"/>
      <c r="D288" s="282"/>
      <c r="E288" s="282"/>
      <c r="F288" s="282"/>
      <c r="G288" s="282"/>
      <c r="H288" s="283"/>
    </row>
    <row r="289" spans="2:8" s="96" customFormat="1" x14ac:dyDescent="0.2">
      <c r="B289" s="124" t="s">
        <v>15</v>
      </c>
      <c r="C289" s="95" t="str">
        <f>Orçamento!E87</f>
        <v xml:space="preserve">ESTRUTURA-TELHA CERÂMICA V=3 A 7 M. C/FERRAGENS </v>
      </c>
      <c r="D289" s="92" t="s">
        <v>24</v>
      </c>
      <c r="E289" s="364" t="s">
        <v>74</v>
      </c>
      <c r="F289" s="365"/>
      <c r="G289" s="92" t="s">
        <v>75</v>
      </c>
      <c r="H289" s="92" t="s">
        <v>141</v>
      </c>
    </row>
    <row r="290" spans="2:8" x14ac:dyDescent="0.2">
      <c r="B290" s="108" t="s">
        <v>407</v>
      </c>
      <c r="C290" s="99" t="s">
        <v>72</v>
      </c>
      <c r="D290" s="100"/>
      <c r="E290" s="360">
        <v>3.35</v>
      </c>
      <c r="F290" s="360"/>
      <c r="G290" s="100">
        <v>1.95</v>
      </c>
      <c r="H290" s="100">
        <f>G290*E290</f>
        <v>6.5324999999999998</v>
      </c>
    </row>
    <row r="291" spans="2:8" x14ac:dyDescent="0.2">
      <c r="B291" s="108" t="s">
        <v>408</v>
      </c>
      <c r="C291" s="99" t="s">
        <v>73</v>
      </c>
      <c r="D291" s="100"/>
      <c r="E291" s="360">
        <v>3.35</v>
      </c>
      <c r="F291" s="360"/>
      <c r="G291" s="100">
        <v>2</v>
      </c>
      <c r="H291" s="100">
        <f>E291*G291</f>
        <v>6.7</v>
      </c>
    </row>
    <row r="292" spans="2:8" x14ac:dyDescent="0.2">
      <c r="B292" s="108" t="s">
        <v>409</v>
      </c>
      <c r="C292" s="99" t="s">
        <v>153</v>
      </c>
      <c r="D292" s="100"/>
      <c r="E292" s="360">
        <v>2.15</v>
      </c>
      <c r="F292" s="360"/>
      <c r="G292" s="100">
        <v>1.5</v>
      </c>
      <c r="H292" s="100">
        <f t="shared" ref="H292:H293" si="4">E292*G292</f>
        <v>3.2249999999999996</v>
      </c>
    </row>
    <row r="293" spans="2:8" x14ac:dyDescent="0.2">
      <c r="B293" s="108" t="s">
        <v>410</v>
      </c>
      <c r="C293" s="99" t="s">
        <v>122</v>
      </c>
      <c r="D293" s="100"/>
      <c r="E293" s="360">
        <v>2</v>
      </c>
      <c r="F293" s="360"/>
      <c r="G293" s="100">
        <v>1.8</v>
      </c>
      <c r="H293" s="100">
        <f t="shared" si="4"/>
        <v>3.6</v>
      </c>
    </row>
    <row r="294" spans="2:8" x14ac:dyDescent="0.2">
      <c r="B294" s="314" t="s">
        <v>10</v>
      </c>
      <c r="C294" s="315"/>
      <c r="D294" s="315"/>
      <c r="E294" s="315"/>
      <c r="F294" s="315"/>
      <c r="G294" s="316"/>
      <c r="H294" s="85">
        <f>SUM(H290:H293)</f>
        <v>20.057500000000001</v>
      </c>
    </row>
    <row r="295" spans="2:8" s="96" customFormat="1" x14ac:dyDescent="0.2">
      <c r="B295" s="124" t="s">
        <v>46</v>
      </c>
      <c r="C295" s="95" t="str">
        <f>Orçamento!E88</f>
        <v xml:space="preserve">TRATAMENTO P/ESTRUTURA DE TELHADO </v>
      </c>
      <c r="D295" s="92" t="s">
        <v>24</v>
      </c>
      <c r="E295" s="364" t="s">
        <v>74</v>
      </c>
      <c r="F295" s="365"/>
      <c r="G295" s="92" t="s">
        <v>75</v>
      </c>
      <c r="H295" s="92" t="s">
        <v>141</v>
      </c>
    </row>
    <row r="296" spans="2:8" x14ac:dyDescent="0.2">
      <c r="B296" s="108" t="s">
        <v>411</v>
      </c>
      <c r="C296" s="99" t="s">
        <v>72</v>
      </c>
      <c r="D296" s="100"/>
      <c r="E296" s="360">
        <v>3.35</v>
      </c>
      <c r="F296" s="360"/>
      <c r="G296" s="100">
        <v>1.95</v>
      </c>
      <c r="H296" s="100">
        <f>G296*E296</f>
        <v>6.5324999999999998</v>
      </c>
    </row>
    <row r="297" spans="2:8" x14ac:dyDescent="0.2">
      <c r="B297" s="108" t="s">
        <v>412</v>
      </c>
      <c r="C297" s="99" t="s">
        <v>73</v>
      </c>
      <c r="D297" s="100"/>
      <c r="E297" s="360">
        <v>3.35</v>
      </c>
      <c r="F297" s="360"/>
      <c r="G297" s="100">
        <v>2</v>
      </c>
      <c r="H297" s="100">
        <f>E297*G297</f>
        <v>6.7</v>
      </c>
    </row>
    <row r="298" spans="2:8" x14ac:dyDescent="0.2">
      <c r="B298" s="108" t="s">
        <v>413</v>
      </c>
      <c r="C298" s="99" t="s">
        <v>153</v>
      </c>
      <c r="D298" s="100"/>
      <c r="E298" s="360">
        <v>2.15</v>
      </c>
      <c r="F298" s="360"/>
      <c r="G298" s="100">
        <v>1.5</v>
      </c>
      <c r="H298" s="100">
        <f t="shared" ref="H298:H299" si="5">E298*G298</f>
        <v>3.2249999999999996</v>
      </c>
    </row>
    <row r="299" spans="2:8" x14ac:dyDescent="0.2">
      <c r="B299" s="108" t="s">
        <v>414</v>
      </c>
      <c r="C299" s="99" t="s">
        <v>122</v>
      </c>
      <c r="D299" s="100"/>
      <c r="E299" s="360">
        <v>2</v>
      </c>
      <c r="F299" s="360"/>
      <c r="G299" s="100">
        <v>1.8</v>
      </c>
      <c r="H299" s="100">
        <f t="shared" si="5"/>
        <v>3.6</v>
      </c>
    </row>
    <row r="300" spans="2:8" ht="15" thickBot="1" x14ac:dyDescent="0.25">
      <c r="B300" s="317" t="s">
        <v>10</v>
      </c>
      <c r="C300" s="318"/>
      <c r="D300" s="318"/>
      <c r="E300" s="318"/>
      <c r="F300" s="318"/>
      <c r="G300" s="319"/>
      <c r="H300" s="87">
        <f>SUM(H296:H299)</f>
        <v>20.057500000000001</v>
      </c>
    </row>
    <row r="301" spans="2:8" ht="15" customHeight="1" thickBot="1" x14ac:dyDescent="0.25">
      <c r="B301" s="281" t="s">
        <v>154</v>
      </c>
      <c r="C301" s="282"/>
      <c r="D301" s="282"/>
      <c r="E301" s="282"/>
      <c r="F301" s="282"/>
      <c r="G301" s="282"/>
      <c r="H301" s="283"/>
    </row>
    <row r="302" spans="2:8" s="96" customFormat="1" x14ac:dyDescent="0.2">
      <c r="B302" s="124" t="s">
        <v>59</v>
      </c>
      <c r="C302" s="95" t="str">
        <f>Orçamento!E91</f>
        <v xml:space="preserve">COBERTURA COM TELHA AMERICANA RESINADA COR VERMELHA </v>
      </c>
      <c r="D302" s="92" t="s">
        <v>8</v>
      </c>
      <c r="E302" s="364" t="s">
        <v>74</v>
      </c>
      <c r="F302" s="365"/>
      <c r="G302" s="92" t="s">
        <v>75</v>
      </c>
      <c r="H302" s="92" t="s">
        <v>141</v>
      </c>
    </row>
    <row r="303" spans="2:8" x14ac:dyDescent="0.2">
      <c r="B303" s="108" t="s">
        <v>415</v>
      </c>
      <c r="C303" s="99" t="s">
        <v>72</v>
      </c>
      <c r="D303" s="100"/>
      <c r="E303" s="360">
        <v>3.35</v>
      </c>
      <c r="F303" s="360"/>
      <c r="G303" s="100">
        <v>1.95</v>
      </c>
      <c r="H303" s="100">
        <f>G303*E303</f>
        <v>6.5324999999999998</v>
      </c>
    </row>
    <row r="304" spans="2:8" x14ac:dyDescent="0.2">
      <c r="B304" s="108" t="s">
        <v>416</v>
      </c>
      <c r="C304" s="99" t="s">
        <v>73</v>
      </c>
      <c r="D304" s="100"/>
      <c r="E304" s="360">
        <v>3.35</v>
      </c>
      <c r="F304" s="360"/>
      <c r="G304" s="100">
        <v>2</v>
      </c>
      <c r="H304" s="100">
        <f>E304*G304</f>
        <v>6.7</v>
      </c>
    </row>
    <row r="305" spans="2:8" x14ac:dyDescent="0.2">
      <c r="B305" s="108" t="s">
        <v>417</v>
      </c>
      <c r="C305" s="99" t="s">
        <v>153</v>
      </c>
      <c r="D305" s="100"/>
      <c r="E305" s="360">
        <v>2.15</v>
      </c>
      <c r="F305" s="360"/>
      <c r="G305" s="100">
        <v>1.5</v>
      </c>
      <c r="H305" s="100">
        <f t="shared" ref="H305:H306" si="6">E305*G305</f>
        <v>3.2249999999999996</v>
      </c>
    </row>
    <row r="306" spans="2:8" x14ac:dyDescent="0.2">
      <c r="B306" s="108" t="s">
        <v>418</v>
      </c>
      <c r="C306" s="99" t="s">
        <v>122</v>
      </c>
      <c r="D306" s="100"/>
      <c r="E306" s="360">
        <v>2</v>
      </c>
      <c r="F306" s="360"/>
      <c r="G306" s="100">
        <v>1.8</v>
      </c>
      <c r="H306" s="100">
        <f t="shared" si="6"/>
        <v>3.6</v>
      </c>
    </row>
    <row r="307" spans="2:8" x14ac:dyDescent="0.2">
      <c r="B307" s="314" t="s">
        <v>10</v>
      </c>
      <c r="C307" s="315"/>
      <c r="D307" s="315"/>
      <c r="E307" s="315"/>
      <c r="F307" s="315"/>
      <c r="G307" s="316"/>
      <c r="H307" s="85">
        <f>SUM(H303:H306)</f>
        <v>20.057500000000001</v>
      </c>
    </row>
    <row r="308" spans="2:8" s="96" customFormat="1" x14ac:dyDescent="0.2">
      <c r="B308" s="92" t="s">
        <v>313</v>
      </c>
      <c r="C308" s="95" t="str">
        <f>Orçamento!E92</f>
        <v xml:space="preserve">CUMEEIRA PARA TELHA AMERICANA RESINADA COR VERMELHA </v>
      </c>
      <c r="D308" s="92" t="s">
        <v>61</v>
      </c>
      <c r="E308" s="326" t="s">
        <v>74</v>
      </c>
      <c r="F308" s="356"/>
      <c r="G308" s="356"/>
      <c r="H308" s="327"/>
    </row>
    <row r="309" spans="2:8" x14ac:dyDescent="0.2">
      <c r="B309" s="98" t="s">
        <v>419</v>
      </c>
      <c r="C309" s="138" t="s">
        <v>621</v>
      </c>
      <c r="D309" s="92"/>
      <c r="E309" s="323">
        <v>3.35</v>
      </c>
      <c r="F309" s="324"/>
      <c r="G309" s="324"/>
      <c r="H309" s="325"/>
    </row>
    <row r="310" spans="2:8" x14ac:dyDescent="0.2">
      <c r="B310" s="98" t="s">
        <v>420</v>
      </c>
      <c r="C310" s="99" t="s">
        <v>157</v>
      </c>
      <c r="D310" s="92"/>
      <c r="E310" s="323">
        <v>2.15</v>
      </c>
      <c r="F310" s="324"/>
      <c r="G310" s="324"/>
      <c r="H310" s="325"/>
    </row>
    <row r="311" spans="2:8" ht="15" thickBot="1" x14ac:dyDescent="0.25">
      <c r="B311" s="317" t="s">
        <v>10</v>
      </c>
      <c r="C311" s="318"/>
      <c r="D311" s="318"/>
      <c r="E311" s="318"/>
      <c r="F311" s="318"/>
      <c r="G311" s="319"/>
      <c r="H311" s="87">
        <f>SUM(E309:H310)</f>
        <v>5.5</v>
      </c>
    </row>
    <row r="312" spans="2:8" ht="15" customHeight="1" thickBot="1" x14ac:dyDescent="0.25">
      <c r="B312" s="281" t="s">
        <v>158</v>
      </c>
      <c r="C312" s="282"/>
      <c r="D312" s="282"/>
      <c r="E312" s="282"/>
      <c r="F312" s="282"/>
      <c r="G312" s="282"/>
      <c r="H312" s="283"/>
    </row>
    <row r="313" spans="2:8" s="96" customFormat="1" x14ac:dyDescent="0.2">
      <c r="B313" s="124" t="s">
        <v>314</v>
      </c>
      <c r="C313" s="120" t="str">
        <f>Orçamento!E95</f>
        <v xml:space="preserve">PORTAO DE ABRIR CHAPA 14 PT-4 C/FERRAGENS </v>
      </c>
      <c r="D313" s="31" t="s">
        <v>24</v>
      </c>
      <c r="E313" s="326" t="s">
        <v>74</v>
      </c>
      <c r="F313" s="327"/>
      <c r="G313" s="92" t="s">
        <v>79</v>
      </c>
      <c r="H313" s="92" t="s">
        <v>76</v>
      </c>
    </row>
    <row r="314" spans="2:8" x14ac:dyDescent="0.2">
      <c r="B314" s="108" t="s">
        <v>421</v>
      </c>
      <c r="C314" s="99" t="s">
        <v>164</v>
      </c>
      <c r="D314" s="100"/>
      <c r="E314" s="323">
        <v>0.8</v>
      </c>
      <c r="F314" s="325"/>
      <c r="G314" s="100">
        <v>2.1</v>
      </c>
      <c r="H314" s="100">
        <f>G314*E314</f>
        <v>1.6800000000000002</v>
      </c>
    </row>
    <row r="315" spans="2:8" x14ac:dyDescent="0.2">
      <c r="B315" s="108" t="s">
        <v>422</v>
      </c>
      <c r="C315" s="99" t="s">
        <v>193</v>
      </c>
      <c r="D315" s="100"/>
      <c r="E315" s="323">
        <v>3.6</v>
      </c>
      <c r="F315" s="325"/>
      <c r="G315" s="100">
        <v>3.5</v>
      </c>
      <c r="H315" s="100">
        <f t="shared" ref="H315:H316" si="7">G315*E315</f>
        <v>12.6</v>
      </c>
    </row>
    <row r="316" spans="2:8" x14ac:dyDescent="0.2">
      <c r="B316" s="108" t="s">
        <v>423</v>
      </c>
      <c r="C316" s="99" t="s">
        <v>194</v>
      </c>
      <c r="D316" s="100"/>
      <c r="E316" s="323">
        <v>2</v>
      </c>
      <c r="F316" s="325"/>
      <c r="G316" s="100">
        <v>3.5</v>
      </c>
      <c r="H316" s="100">
        <f t="shared" si="7"/>
        <v>7</v>
      </c>
    </row>
    <row r="317" spans="2:8" x14ac:dyDescent="0.2">
      <c r="B317" s="314" t="s">
        <v>10</v>
      </c>
      <c r="C317" s="315"/>
      <c r="D317" s="315"/>
      <c r="E317" s="315"/>
      <c r="F317" s="315"/>
      <c r="G317" s="316"/>
      <c r="H317" s="85">
        <f>SUM(H314:H316)</f>
        <v>21.28</v>
      </c>
    </row>
    <row r="318" spans="2:8" s="96" customFormat="1" x14ac:dyDescent="0.2">
      <c r="B318" s="124" t="s">
        <v>315</v>
      </c>
      <c r="C318" s="120" t="str">
        <f>Orçamento!E96</f>
        <v xml:space="preserve">GUARDA CORPO / TUBO INDUSTRIAL GCS-1 </v>
      </c>
      <c r="D318" s="31" t="s">
        <v>8</v>
      </c>
      <c r="E318" s="326" t="s">
        <v>74</v>
      </c>
      <c r="F318" s="327"/>
      <c r="G318" s="92" t="s">
        <v>79</v>
      </c>
      <c r="H318" s="92" t="s">
        <v>76</v>
      </c>
    </row>
    <row r="319" spans="2:8" x14ac:dyDescent="0.2">
      <c r="B319" s="108" t="s">
        <v>424</v>
      </c>
      <c r="C319" s="27" t="s">
        <v>84</v>
      </c>
      <c r="D319" s="12"/>
      <c r="E319" s="323">
        <v>3.7</v>
      </c>
      <c r="F319" s="325"/>
      <c r="G319" s="100">
        <v>1.1000000000000001</v>
      </c>
      <c r="H319" s="100">
        <f>G319*E319</f>
        <v>4.07</v>
      </c>
    </row>
    <row r="320" spans="2:8" x14ac:dyDescent="0.2">
      <c r="B320" s="314" t="s">
        <v>10</v>
      </c>
      <c r="C320" s="315"/>
      <c r="D320" s="315"/>
      <c r="E320" s="315"/>
      <c r="F320" s="315"/>
      <c r="G320" s="316"/>
      <c r="H320" s="85">
        <f>SUM(H319)</f>
        <v>4.07</v>
      </c>
    </row>
    <row r="321" spans="2:8" s="96" customFormat="1" x14ac:dyDescent="0.2">
      <c r="B321" s="124" t="s">
        <v>316</v>
      </c>
      <c r="C321" s="120" t="str">
        <f>Orçamento!E97</f>
        <v xml:space="preserve">ESQ.MAXIMO AR CHAPA/VIDRO J1/J2/J7/J15 C/FERRAGENS </v>
      </c>
      <c r="D321" s="31" t="s">
        <v>24</v>
      </c>
      <c r="E321" s="92" t="s">
        <v>149</v>
      </c>
      <c r="F321" s="92" t="s">
        <v>74</v>
      </c>
      <c r="G321" s="92" t="s">
        <v>79</v>
      </c>
      <c r="H321" s="92" t="s">
        <v>150</v>
      </c>
    </row>
    <row r="322" spans="2:8" x14ac:dyDescent="0.2">
      <c r="B322" s="108" t="s">
        <v>425</v>
      </c>
      <c r="C322" s="99" t="s">
        <v>72</v>
      </c>
      <c r="D322" s="12"/>
      <c r="E322" s="225">
        <v>2</v>
      </c>
      <c r="F322" s="100">
        <v>0.6</v>
      </c>
      <c r="G322" s="100">
        <v>0.6</v>
      </c>
      <c r="H322" s="100">
        <f>G322*F322*E322</f>
        <v>0.72</v>
      </c>
    </row>
    <row r="323" spans="2:8" x14ac:dyDescent="0.2">
      <c r="B323" s="108" t="s">
        <v>426</v>
      </c>
      <c r="C323" s="99" t="s">
        <v>73</v>
      </c>
      <c r="D323" s="12"/>
      <c r="E323" s="225">
        <v>1</v>
      </c>
      <c r="F323" s="100">
        <v>0.6</v>
      </c>
      <c r="G323" s="100">
        <v>0.6</v>
      </c>
      <c r="H323" s="100">
        <f t="shared" ref="H323:H327" si="8">G323*F323*E323</f>
        <v>0.36</v>
      </c>
    </row>
    <row r="324" spans="2:8" x14ac:dyDescent="0.2">
      <c r="B324" s="108" t="s">
        <v>427</v>
      </c>
      <c r="C324" s="99" t="s">
        <v>153</v>
      </c>
      <c r="D324" s="12"/>
      <c r="E324" s="225">
        <v>1</v>
      </c>
      <c r="F324" s="100">
        <v>0.6</v>
      </c>
      <c r="G324" s="100">
        <v>0.6</v>
      </c>
      <c r="H324" s="100">
        <f t="shared" si="8"/>
        <v>0.36</v>
      </c>
    </row>
    <row r="325" spans="2:8" x14ac:dyDescent="0.2">
      <c r="B325" s="108" t="s">
        <v>428</v>
      </c>
      <c r="C325" s="99" t="s">
        <v>122</v>
      </c>
      <c r="D325" s="12"/>
      <c r="E325" s="225">
        <v>1</v>
      </c>
      <c r="F325" s="100">
        <v>0.6</v>
      </c>
      <c r="G325" s="100">
        <v>0.6</v>
      </c>
      <c r="H325" s="100">
        <f t="shared" si="8"/>
        <v>0.36</v>
      </c>
    </row>
    <row r="326" spans="2:8" x14ac:dyDescent="0.2">
      <c r="B326" s="108" t="s">
        <v>429</v>
      </c>
      <c r="C326" s="99" t="s">
        <v>107</v>
      </c>
      <c r="D326" s="12"/>
      <c r="E326" s="225">
        <v>1</v>
      </c>
      <c r="F326" s="100">
        <v>0.6</v>
      </c>
      <c r="G326" s="100">
        <v>0.6</v>
      </c>
      <c r="H326" s="100">
        <f t="shared" si="8"/>
        <v>0.36</v>
      </c>
    </row>
    <row r="327" spans="2:8" x14ac:dyDescent="0.2">
      <c r="B327" s="108" t="s">
        <v>430</v>
      </c>
      <c r="C327" s="99" t="s">
        <v>140</v>
      </c>
      <c r="D327" s="12"/>
      <c r="E327" s="225">
        <v>1</v>
      </c>
      <c r="F327" s="100">
        <v>0.8</v>
      </c>
      <c r="G327" s="100">
        <v>0.5</v>
      </c>
      <c r="H327" s="100">
        <f t="shared" si="8"/>
        <v>0.4</v>
      </c>
    </row>
    <row r="328" spans="2:8" x14ac:dyDescent="0.2">
      <c r="B328" s="314" t="s">
        <v>10</v>
      </c>
      <c r="C328" s="315"/>
      <c r="D328" s="315"/>
      <c r="E328" s="315"/>
      <c r="F328" s="315"/>
      <c r="G328" s="316"/>
      <c r="H328" s="85">
        <f>SUM(H322:H327)</f>
        <v>2.5599999999999996</v>
      </c>
    </row>
    <row r="329" spans="2:8" s="96" customFormat="1" x14ac:dyDescent="0.2">
      <c r="B329" s="124" t="s">
        <v>317</v>
      </c>
      <c r="C329" s="120" t="str">
        <f>Orçamento!E98</f>
        <v xml:space="preserve">ESQ.DE CORRER CHAPA/VIDRO J9/J10/J12/J13 C/FERRAGENS </v>
      </c>
      <c r="D329" s="31" t="s">
        <v>24</v>
      </c>
      <c r="E329" s="92" t="s">
        <v>149</v>
      </c>
      <c r="F329" s="92" t="s">
        <v>74</v>
      </c>
      <c r="G329" s="92" t="s">
        <v>79</v>
      </c>
      <c r="H329" s="92" t="s">
        <v>150</v>
      </c>
    </row>
    <row r="330" spans="2:8" x14ac:dyDescent="0.2">
      <c r="B330" s="108" t="s">
        <v>431</v>
      </c>
      <c r="C330" s="27" t="s">
        <v>166</v>
      </c>
      <c r="D330" s="12"/>
      <c r="E330" s="225">
        <v>1</v>
      </c>
      <c r="F330" s="100">
        <v>1</v>
      </c>
      <c r="G330" s="100">
        <v>0.5</v>
      </c>
      <c r="H330" s="100">
        <f>G330*F330*E330</f>
        <v>0.5</v>
      </c>
    </row>
    <row r="331" spans="2:8" x14ac:dyDescent="0.2">
      <c r="B331" s="108" t="s">
        <v>432</v>
      </c>
      <c r="C331" s="27" t="s">
        <v>80</v>
      </c>
      <c r="D331" s="12"/>
      <c r="E331" s="225">
        <v>1</v>
      </c>
      <c r="F331" s="100">
        <v>1</v>
      </c>
      <c r="G331" s="100">
        <v>0.5</v>
      </c>
      <c r="H331" s="100">
        <f>G331*F331*E331</f>
        <v>0.5</v>
      </c>
    </row>
    <row r="332" spans="2:8" x14ac:dyDescent="0.2">
      <c r="B332" s="314" t="s">
        <v>10</v>
      </c>
      <c r="C332" s="315"/>
      <c r="D332" s="315"/>
      <c r="E332" s="315"/>
      <c r="F332" s="315"/>
      <c r="G332" s="316"/>
      <c r="H332" s="85">
        <f>SUM(H330:H331)</f>
        <v>1</v>
      </c>
    </row>
    <row r="333" spans="2:8" s="96" customFormat="1" x14ac:dyDescent="0.2">
      <c r="B333" s="124" t="s">
        <v>318</v>
      </c>
      <c r="C333" s="120" t="str">
        <f>Orçamento!E99</f>
        <v>PORTA DE ABRIR EM CHAPA PF-1A C/FERRAGENS</v>
      </c>
      <c r="D333" s="31" t="s">
        <v>24</v>
      </c>
      <c r="E333" s="219" t="s">
        <v>149</v>
      </c>
      <c r="F333" s="219" t="s">
        <v>74</v>
      </c>
      <c r="G333" s="219" t="s">
        <v>79</v>
      </c>
      <c r="H333" s="219" t="s">
        <v>150</v>
      </c>
    </row>
    <row r="334" spans="2:8" x14ac:dyDescent="0.2">
      <c r="B334" s="239" t="s">
        <v>433</v>
      </c>
      <c r="C334" s="27" t="s">
        <v>140</v>
      </c>
      <c r="D334" s="12"/>
      <c r="E334" s="225">
        <v>1</v>
      </c>
      <c r="F334" s="218">
        <v>0.3</v>
      </c>
      <c r="G334" s="218">
        <v>0.3</v>
      </c>
      <c r="H334" s="218">
        <f>G334*F334*E334</f>
        <v>0.09</v>
      </c>
    </row>
    <row r="335" spans="2:8" x14ac:dyDescent="0.2">
      <c r="B335" s="314" t="s">
        <v>10</v>
      </c>
      <c r="C335" s="315"/>
      <c r="D335" s="315"/>
      <c r="E335" s="315"/>
      <c r="F335" s="315"/>
      <c r="G335" s="316"/>
      <c r="H335" s="221">
        <f>SUM(H334:H334)</f>
        <v>0.09</v>
      </c>
    </row>
    <row r="336" spans="2:8" s="96" customFormat="1" x14ac:dyDescent="0.2">
      <c r="B336" s="124" t="s">
        <v>502</v>
      </c>
      <c r="C336" s="120" t="str">
        <f>Orçamento!E100</f>
        <v xml:space="preserve">PORTA ABRIR/VENEZIANA PF-4 C/FERRAGENS </v>
      </c>
      <c r="D336" s="31" t="s">
        <v>24</v>
      </c>
      <c r="E336" s="92" t="s">
        <v>149</v>
      </c>
      <c r="F336" s="92" t="s">
        <v>75</v>
      </c>
      <c r="G336" s="92" t="s">
        <v>79</v>
      </c>
      <c r="H336" s="92" t="s">
        <v>150</v>
      </c>
    </row>
    <row r="337" spans="2:8" x14ac:dyDescent="0.2">
      <c r="B337" s="239" t="s">
        <v>503</v>
      </c>
      <c r="C337" s="99" t="s">
        <v>153</v>
      </c>
      <c r="D337" s="12"/>
      <c r="E337" s="225">
        <v>1</v>
      </c>
      <c r="F337" s="100">
        <v>0.8</v>
      </c>
      <c r="G337" s="100">
        <v>2.1</v>
      </c>
      <c r="H337" s="100">
        <f t="shared" ref="H337:H342" si="9">G337*F337*E337</f>
        <v>1.6800000000000002</v>
      </c>
    </row>
    <row r="338" spans="2:8" x14ac:dyDescent="0.2">
      <c r="B338" s="239" t="s">
        <v>703</v>
      </c>
      <c r="C338" s="99" t="s">
        <v>122</v>
      </c>
      <c r="D338" s="12"/>
      <c r="E338" s="225">
        <v>1</v>
      </c>
      <c r="F338" s="100">
        <v>0.8</v>
      </c>
      <c r="G338" s="100">
        <v>2.1</v>
      </c>
      <c r="H338" s="100">
        <f t="shared" si="9"/>
        <v>1.6800000000000002</v>
      </c>
    </row>
    <row r="339" spans="2:8" x14ac:dyDescent="0.2">
      <c r="B339" s="239" t="s">
        <v>704</v>
      </c>
      <c r="C339" s="99" t="s">
        <v>140</v>
      </c>
      <c r="D339" s="12"/>
      <c r="E339" s="225">
        <v>1</v>
      </c>
      <c r="F339" s="100">
        <v>0.8</v>
      </c>
      <c r="G339" s="100">
        <v>2.1</v>
      </c>
      <c r="H339" s="100">
        <f t="shared" si="9"/>
        <v>1.6800000000000002</v>
      </c>
    </row>
    <row r="340" spans="2:8" x14ac:dyDescent="0.2">
      <c r="B340" s="239" t="s">
        <v>705</v>
      </c>
      <c r="C340" s="27" t="s">
        <v>166</v>
      </c>
      <c r="D340" s="12"/>
      <c r="E340" s="225">
        <v>1</v>
      </c>
      <c r="F340" s="100">
        <v>0.8</v>
      </c>
      <c r="G340" s="100">
        <v>2.1</v>
      </c>
      <c r="H340" s="100">
        <f t="shared" si="9"/>
        <v>1.6800000000000002</v>
      </c>
    </row>
    <row r="341" spans="2:8" x14ac:dyDescent="0.2">
      <c r="B341" s="239" t="s">
        <v>706</v>
      </c>
      <c r="C341" s="27" t="s">
        <v>73</v>
      </c>
      <c r="D341" s="12"/>
      <c r="E341" s="225">
        <v>1</v>
      </c>
      <c r="F341" s="100">
        <v>0.8</v>
      </c>
      <c r="G341" s="100">
        <v>2.1</v>
      </c>
      <c r="H341" s="100">
        <f t="shared" si="9"/>
        <v>1.6800000000000002</v>
      </c>
    </row>
    <row r="342" spans="2:8" x14ac:dyDescent="0.2">
      <c r="B342" s="239" t="s">
        <v>727</v>
      </c>
      <c r="C342" s="99" t="s">
        <v>107</v>
      </c>
      <c r="D342" s="12"/>
      <c r="E342" s="225">
        <v>2</v>
      </c>
      <c r="F342" s="218">
        <v>0.8</v>
      </c>
      <c r="G342" s="218">
        <v>2.1</v>
      </c>
      <c r="H342" s="218">
        <f t="shared" si="9"/>
        <v>3.3600000000000003</v>
      </c>
    </row>
    <row r="343" spans="2:8" x14ac:dyDescent="0.2">
      <c r="B343" s="314" t="s">
        <v>10</v>
      </c>
      <c r="C343" s="315"/>
      <c r="D343" s="315"/>
      <c r="E343" s="315"/>
      <c r="F343" s="315"/>
      <c r="G343" s="316"/>
      <c r="H343" s="85">
        <f>SUM(H337:H342)</f>
        <v>11.760000000000002</v>
      </c>
    </row>
    <row r="344" spans="2:8" s="96" customFormat="1" x14ac:dyDescent="0.2">
      <c r="B344" s="92" t="s">
        <v>505</v>
      </c>
      <c r="C344" s="139" t="str">
        <f>Orçamento!E101</f>
        <v xml:space="preserve">GUARDA BICICLETAS </v>
      </c>
      <c r="D344" s="128" t="s">
        <v>98</v>
      </c>
      <c r="E344" s="326"/>
      <c r="F344" s="356"/>
      <c r="G344" s="356"/>
      <c r="H344" s="327"/>
    </row>
    <row r="345" spans="2:8" x14ac:dyDescent="0.2">
      <c r="B345" s="240" t="s">
        <v>506</v>
      </c>
      <c r="C345" s="109" t="s">
        <v>504</v>
      </c>
      <c r="D345" s="85"/>
      <c r="E345" s="323">
        <v>4.3</v>
      </c>
      <c r="F345" s="324"/>
      <c r="G345" s="324"/>
      <c r="H345" s="325"/>
    </row>
    <row r="346" spans="2:8" x14ac:dyDescent="0.2">
      <c r="B346" s="314" t="s">
        <v>10</v>
      </c>
      <c r="C346" s="315"/>
      <c r="D346" s="315"/>
      <c r="E346" s="315"/>
      <c r="F346" s="315"/>
      <c r="G346" s="316"/>
      <c r="H346" s="85">
        <f>E345</f>
        <v>4.3</v>
      </c>
    </row>
    <row r="347" spans="2:8" s="96" customFormat="1" x14ac:dyDescent="0.2">
      <c r="B347" s="92" t="s">
        <v>701</v>
      </c>
      <c r="C347" s="139" t="str">
        <f>Orçamento!E102</f>
        <v xml:space="preserve">GRADE GINASIO - TELA PORTUG.3X3CM FIO12/TB.INDUST.1.1/2" </v>
      </c>
      <c r="D347" s="128" t="s">
        <v>24</v>
      </c>
      <c r="E347" s="92" t="s">
        <v>149</v>
      </c>
      <c r="F347" s="92" t="s">
        <v>74</v>
      </c>
      <c r="G347" s="92" t="s">
        <v>79</v>
      </c>
      <c r="H347" s="92" t="s">
        <v>150</v>
      </c>
    </row>
    <row r="348" spans="2:8" x14ac:dyDescent="0.2">
      <c r="B348" s="239" t="s">
        <v>707</v>
      </c>
      <c r="C348" s="99" t="s">
        <v>513</v>
      </c>
      <c r="D348" s="12"/>
      <c r="E348" s="225">
        <v>2</v>
      </c>
      <c r="F348" s="100">
        <v>0.7</v>
      </c>
      <c r="G348" s="100">
        <v>0.7</v>
      </c>
      <c r="H348" s="100">
        <f>G348*F348*E348</f>
        <v>0.97999999999999987</v>
      </c>
    </row>
    <row r="349" spans="2:8" x14ac:dyDescent="0.2">
      <c r="B349" s="239" t="s">
        <v>708</v>
      </c>
      <c r="C349" s="99" t="s">
        <v>514</v>
      </c>
      <c r="D349" s="12"/>
      <c r="E349" s="225">
        <v>1</v>
      </c>
      <c r="F349" s="100">
        <v>0.7</v>
      </c>
      <c r="G349" s="100">
        <v>0.7</v>
      </c>
      <c r="H349" s="100">
        <f t="shared" ref="H349:H352" si="10">G349*F349*E349</f>
        <v>0.48999999999999994</v>
      </c>
    </row>
    <row r="350" spans="2:8" x14ac:dyDescent="0.2">
      <c r="B350" s="239" t="s">
        <v>709</v>
      </c>
      <c r="C350" s="99" t="s">
        <v>515</v>
      </c>
      <c r="D350" s="12"/>
      <c r="E350" s="225">
        <v>1</v>
      </c>
      <c r="F350" s="100">
        <v>0.7</v>
      </c>
      <c r="G350" s="100">
        <v>0.7</v>
      </c>
      <c r="H350" s="100">
        <f t="shared" si="10"/>
        <v>0.48999999999999994</v>
      </c>
    </row>
    <row r="351" spans="2:8" x14ac:dyDescent="0.2">
      <c r="B351" s="239" t="s">
        <v>710</v>
      </c>
      <c r="C351" s="99" t="s">
        <v>516</v>
      </c>
      <c r="D351" s="12"/>
      <c r="E351" s="225">
        <v>1</v>
      </c>
      <c r="F351" s="100">
        <v>0.7</v>
      </c>
      <c r="G351" s="100">
        <v>0.7</v>
      </c>
      <c r="H351" s="100">
        <f t="shared" si="10"/>
        <v>0.48999999999999994</v>
      </c>
    </row>
    <row r="352" spans="2:8" x14ac:dyDescent="0.2">
      <c r="B352" s="239" t="s">
        <v>711</v>
      </c>
      <c r="C352" s="99" t="s">
        <v>517</v>
      </c>
      <c r="D352" s="12"/>
      <c r="E352" s="225">
        <v>1</v>
      </c>
      <c r="F352" s="100">
        <v>0.7</v>
      </c>
      <c r="G352" s="100">
        <v>0.7</v>
      </c>
      <c r="H352" s="100">
        <f t="shared" si="10"/>
        <v>0.48999999999999994</v>
      </c>
    </row>
    <row r="353" spans="2:8" x14ac:dyDescent="0.2">
      <c r="B353" s="239" t="s">
        <v>712</v>
      </c>
      <c r="C353" s="27" t="s">
        <v>518</v>
      </c>
      <c r="D353" s="12"/>
      <c r="E353" s="225">
        <v>1</v>
      </c>
      <c r="F353" s="100">
        <v>1.1000000000000001</v>
      </c>
      <c r="G353" s="100">
        <v>0.6</v>
      </c>
      <c r="H353" s="100">
        <f>G353*F353*E353</f>
        <v>0.66</v>
      </c>
    </row>
    <row r="354" spans="2:8" x14ac:dyDescent="0.2">
      <c r="B354" s="239" t="s">
        <v>713</v>
      </c>
      <c r="C354" s="27" t="s">
        <v>519</v>
      </c>
      <c r="D354" s="12"/>
      <c r="E354" s="225">
        <v>1</v>
      </c>
      <c r="F354" s="100">
        <v>1.1000000000000001</v>
      </c>
      <c r="G354" s="100">
        <v>0.6</v>
      </c>
      <c r="H354" s="100">
        <f>G354*F354*E354</f>
        <v>0.66</v>
      </c>
    </row>
    <row r="355" spans="2:8" ht="15" thickBot="1" x14ac:dyDescent="0.25">
      <c r="B355" s="317" t="s">
        <v>10</v>
      </c>
      <c r="C355" s="318"/>
      <c r="D355" s="318"/>
      <c r="E355" s="318"/>
      <c r="F355" s="318"/>
      <c r="G355" s="319"/>
      <c r="H355" s="87">
        <f>SUM(H348:H354)</f>
        <v>4.26</v>
      </c>
    </row>
    <row r="356" spans="2:8" ht="15" customHeight="1" thickBot="1" x14ac:dyDescent="0.25">
      <c r="B356" s="281" t="s">
        <v>57</v>
      </c>
      <c r="C356" s="282"/>
      <c r="D356" s="282"/>
      <c r="E356" s="282"/>
      <c r="F356" s="282"/>
      <c r="G356" s="282"/>
      <c r="H356" s="283"/>
    </row>
    <row r="357" spans="2:8" s="96" customFormat="1" x14ac:dyDescent="0.2">
      <c r="B357" s="124" t="s">
        <v>319</v>
      </c>
      <c r="C357" s="140" t="str">
        <f>Orçamento!E105</f>
        <v xml:space="preserve">VIDRO LISO 4 MM - COLOCADO </v>
      </c>
      <c r="D357" s="31" t="s">
        <v>24</v>
      </c>
      <c r="E357" s="92" t="s">
        <v>149</v>
      </c>
      <c r="F357" s="92" t="s">
        <v>74</v>
      </c>
      <c r="G357" s="92" t="s">
        <v>79</v>
      </c>
      <c r="H357" s="92" t="s">
        <v>150</v>
      </c>
    </row>
    <row r="358" spans="2:8" x14ac:dyDescent="0.2">
      <c r="B358" s="108" t="s">
        <v>434</v>
      </c>
      <c r="C358" s="99" t="s">
        <v>72</v>
      </c>
      <c r="D358" s="12"/>
      <c r="E358" s="225">
        <v>2</v>
      </c>
      <c r="F358" s="100">
        <v>0.6</v>
      </c>
      <c r="G358" s="100">
        <v>0.6</v>
      </c>
      <c r="H358" s="100">
        <f>G358*F358*E358</f>
        <v>0.72</v>
      </c>
    </row>
    <row r="359" spans="2:8" x14ac:dyDescent="0.2">
      <c r="B359" s="108" t="s">
        <v>435</v>
      </c>
      <c r="C359" s="99" t="s">
        <v>73</v>
      </c>
      <c r="D359" s="12"/>
      <c r="E359" s="225">
        <v>1</v>
      </c>
      <c r="F359" s="100">
        <v>0.6</v>
      </c>
      <c r="G359" s="100">
        <v>0.6</v>
      </c>
      <c r="H359" s="100">
        <f t="shared" ref="H359:H363" si="11">G359*F359*E359</f>
        <v>0.36</v>
      </c>
    </row>
    <row r="360" spans="2:8" x14ac:dyDescent="0.2">
      <c r="B360" s="108" t="s">
        <v>436</v>
      </c>
      <c r="C360" s="99" t="s">
        <v>153</v>
      </c>
      <c r="D360" s="12"/>
      <c r="E360" s="225">
        <v>1</v>
      </c>
      <c r="F360" s="100">
        <v>0.6</v>
      </c>
      <c r="G360" s="100">
        <v>0.6</v>
      </c>
      <c r="H360" s="100">
        <f t="shared" si="11"/>
        <v>0.36</v>
      </c>
    </row>
    <row r="361" spans="2:8" x14ac:dyDescent="0.2">
      <c r="B361" s="108" t="s">
        <v>437</v>
      </c>
      <c r="C361" s="99" t="s">
        <v>122</v>
      </c>
      <c r="D361" s="12"/>
      <c r="E361" s="225">
        <v>1</v>
      </c>
      <c r="F361" s="100">
        <v>0.6</v>
      </c>
      <c r="G361" s="100">
        <v>0.6</v>
      </c>
      <c r="H361" s="100">
        <f t="shared" si="11"/>
        <v>0.36</v>
      </c>
    </row>
    <row r="362" spans="2:8" x14ac:dyDescent="0.2">
      <c r="B362" s="108" t="s">
        <v>438</v>
      </c>
      <c r="C362" s="99" t="s">
        <v>107</v>
      </c>
      <c r="D362" s="12"/>
      <c r="E362" s="225">
        <v>1</v>
      </c>
      <c r="F362" s="100">
        <v>0.6</v>
      </c>
      <c r="G362" s="100">
        <v>0.6</v>
      </c>
      <c r="H362" s="100">
        <f t="shared" si="11"/>
        <v>0.36</v>
      </c>
    </row>
    <row r="363" spans="2:8" x14ac:dyDescent="0.2">
      <c r="B363" s="108" t="s">
        <v>439</v>
      </c>
      <c r="C363" s="99" t="s">
        <v>140</v>
      </c>
      <c r="D363" s="12"/>
      <c r="E363" s="225">
        <v>1</v>
      </c>
      <c r="F363" s="100">
        <v>0.8</v>
      </c>
      <c r="G363" s="100">
        <v>0.5</v>
      </c>
      <c r="H363" s="100">
        <f t="shared" si="11"/>
        <v>0.4</v>
      </c>
    </row>
    <row r="364" spans="2:8" x14ac:dyDescent="0.2">
      <c r="B364" s="108" t="s">
        <v>440</v>
      </c>
      <c r="C364" s="27" t="s">
        <v>166</v>
      </c>
      <c r="D364" s="12"/>
      <c r="E364" s="225">
        <v>1</v>
      </c>
      <c r="F364" s="100">
        <v>1</v>
      </c>
      <c r="G364" s="100">
        <v>0.5</v>
      </c>
      <c r="H364" s="100">
        <f>G364*F364*E364</f>
        <v>0.5</v>
      </c>
    </row>
    <row r="365" spans="2:8" x14ac:dyDescent="0.2">
      <c r="B365" s="108" t="s">
        <v>441</v>
      </c>
      <c r="C365" s="27" t="s">
        <v>80</v>
      </c>
      <c r="D365" s="12"/>
      <c r="E365" s="225">
        <v>1</v>
      </c>
      <c r="F365" s="100">
        <v>1</v>
      </c>
      <c r="G365" s="100">
        <v>0.5</v>
      </c>
      <c r="H365" s="100">
        <f>G365*F365*E365</f>
        <v>0.5</v>
      </c>
    </row>
    <row r="366" spans="2:8" ht="15" thickBot="1" x14ac:dyDescent="0.25">
      <c r="B366" s="317" t="s">
        <v>10</v>
      </c>
      <c r="C366" s="318"/>
      <c r="D366" s="318"/>
      <c r="E366" s="318"/>
      <c r="F366" s="318"/>
      <c r="G366" s="319"/>
      <c r="H366" s="87">
        <f>SUM(H358:H365)</f>
        <v>3.5599999999999996</v>
      </c>
    </row>
    <row r="367" spans="2:8" ht="15" customHeight="1" thickBot="1" x14ac:dyDescent="0.25">
      <c r="B367" s="281" t="s">
        <v>168</v>
      </c>
      <c r="C367" s="282"/>
      <c r="D367" s="282"/>
      <c r="E367" s="282"/>
      <c r="F367" s="282"/>
      <c r="G367" s="282"/>
      <c r="H367" s="283"/>
    </row>
    <row r="368" spans="2:8" s="96" customFormat="1" x14ac:dyDescent="0.2">
      <c r="B368" s="124" t="s">
        <v>320</v>
      </c>
      <c r="C368" s="140" t="str">
        <f>Orçamento!E108</f>
        <v xml:space="preserve">CHAPISCO COMUM </v>
      </c>
      <c r="D368" s="31" t="s">
        <v>24</v>
      </c>
      <c r="E368" s="326" t="s">
        <v>172</v>
      </c>
      <c r="F368" s="327"/>
      <c r="G368" s="92" t="s">
        <v>173</v>
      </c>
      <c r="H368" s="92" t="s">
        <v>150</v>
      </c>
    </row>
    <row r="369" spans="2:8" x14ac:dyDescent="0.2">
      <c r="B369" s="108" t="s">
        <v>442</v>
      </c>
      <c r="C369" s="90" t="s">
        <v>159</v>
      </c>
      <c r="D369" s="100"/>
      <c r="E369" s="323"/>
      <c r="F369" s="325"/>
      <c r="G369" s="100"/>
      <c r="H369" s="100"/>
    </row>
    <row r="370" spans="2:8" x14ac:dyDescent="0.2">
      <c r="B370" s="107"/>
      <c r="C370" s="90" t="s">
        <v>174</v>
      </c>
      <c r="D370" s="100"/>
      <c r="E370" s="323">
        <f>1.4+18.57+1.4</f>
        <v>21.369999999999997</v>
      </c>
      <c r="F370" s="325"/>
      <c r="G370" s="100">
        <v>3</v>
      </c>
      <c r="H370" s="100">
        <f>G370*E370</f>
        <v>64.109999999999985</v>
      </c>
    </row>
    <row r="371" spans="2:8" x14ac:dyDescent="0.2">
      <c r="B371" s="107"/>
      <c r="C371" s="90" t="s">
        <v>175</v>
      </c>
      <c r="D371" s="100"/>
      <c r="E371" s="323">
        <v>0.8</v>
      </c>
      <c r="F371" s="325"/>
      <c r="G371" s="100">
        <v>2.1</v>
      </c>
      <c r="H371" s="100">
        <f t="shared" ref="H371:H373" si="12">G371*E371</f>
        <v>1.6800000000000002</v>
      </c>
    </row>
    <row r="372" spans="2:8" x14ac:dyDescent="0.2">
      <c r="B372" s="107"/>
      <c r="C372" s="90" t="s">
        <v>171</v>
      </c>
      <c r="D372" s="100"/>
      <c r="E372" s="323">
        <v>1.4</v>
      </c>
      <c r="F372" s="325"/>
      <c r="G372" s="100">
        <v>3</v>
      </c>
      <c r="H372" s="100">
        <f t="shared" si="12"/>
        <v>4.1999999999999993</v>
      </c>
    </row>
    <row r="373" spans="2:8" x14ac:dyDescent="0.2">
      <c r="B373" s="107"/>
      <c r="C373" s="90" t="s">
        <v>175</v>
      </c>
      <c r="D373" s="100"/>
      <c r="E373" s="323">
        <v>0.8</v>
      </c>
      <c r="F373" s="325"/>
      <c r="G373" s="100">
        <v>2.1</v>
      </c>
      <c r="H373" s="100">
        <f t="shared" si="12"/>
        <v>1.6800000000000002</v>
      </c>
    </row>
    <row r="374" spans="2:8" ht="13.5" customHeight="1" x14ac:dyDescent="0.2">
      <c r="B374" s="314" t="s">
        <v>145</v>
      </c>
      <c r="C374" s="315"/>
      <c r="D374" s="315"/>
      <c r="E374" s="315"/>
      <c r="F374" s="315"/>
      <c r="G374" s="316"/>
      <c r="H374" s="92">
        <f>H370+H372-H371-H373</f>
        <v>64.949999999999974</v>
      </c>
    </row>
    <row r="375" spans="2:8" x14ac:dyDescent="0.2">
      <c r="B375" s="108" t="s">
        <v>443</v>
      </c>
      <c r="C375" s="90" t="s">
        <v>140</v>
      </c>
      <c r="D375" s="100"/>
      <c r="E375" s="323"/>
      <c r="F375" s="325"/>
      <c r="G375" s="100"/>
      <c r="H375" s="100"/>
    </row>
    <row r="376" spans="2:8" x14ac:dyDescent="0.2">
      <c r="B376" s="107"/>
      <c r="C376" s="90" t="s">
        <v>177</v>
      </c>
      <c r="D376" s="100"/>
      <c r="E376" s="323">
        <f>2+1.74</f>
        <v>3.74</v>
      </c>
      <c r="F376" s="325"/>
      <c r="G376" s="100">
        <v>3.5</v>
      </c>
      <c r="H376" s="100">
        <f>G376*E376</f>
        <v>13.09</v>
      </c>
    </row>
    <row r="377" spans="2:8" x14ac:dyDescent="0.2">
      <c r="B377" s="107"/>
      <c r="C377" s="90" t="s">
        <v>175</v>
      </c>
      <c r="D377" s="100"/>
      <c r="E377" s="323">
        <v>0.8</v>
      </c>
      <c r="F377" s="325"/>
      <c r="G377" s="100">
        <v>2.1</v>
      </c>
      <c r="H377" s="100">
        <f t="shared" ref="H377:H381" si="13">G377*E377</f>
        <v>1.6800000000000002</v>
      </c>
    </row>
    <row r="378" spans="2:8" x14ac:dyDescent="0.2">
      <c r="B378" s="107"/>
      <c r="C378" s="90" t="s">
        <v>176</v>
      </c>
      <c r="D378" s="100"/>
      <c r="E378" s="323">
        <v>0.8</v>
      </c>
      <c r="F378" s="325"/>
      <c r="G378" s="100">
        <v>0.5</v>
      </c>
      <c r="H378" s="100">
        <f t="shared" si="13"/>
        <v>0.4</v>
      </c>
    </row>
    <row r="379" spans="2:8" x14ac:dyDescent="0.2">
      <c r="B379" s="107"/>
      <c r="C379" s="90" t="s">
        <v>178</v>
      </c>
      <c r="D379" s="100"/>
      <c r="E379" s="323">
        <f>2.15+1.89</f>
        <v>4.04</v>
      </c>
      <c r="F379" s="325"/>
      <c r="G379" s="100">
        <v>3.5</v>
      </c>
      <c r="H379" s="100">
        <f t="shared" si="13"/>
        <v>14.14</v>
      </c>
    </row>
    <row r="380" spans="2:8" x14ac:dyDescent="0.2">
      <c r="B380" s="107"/>
      <c r="C380" s="90" t="s">
        <v>175</v>
      </c>
      <c r="D380" s="100"/>
      <c r="E380" s="323">
        <v>0.8</v>
      </c>
      <c r="F380" s="325"/>
      <c r="G380" s="100">
        <v>2.1</v>
      </c>
      <c r="H380" s="100">
        <f t="shared" si="13"/>
        <v>1.6800000000000002</v>
      </c>
    </row>
    <row r="381" spans="2:8" x14ac:dyDescent="0.2">
      <c r="B381" s="107"/>
      <c r="C381" s="90" t="s">
        <v>176</v>
      </c>
      <c r="D381" s="100"/>
      <c r="E381" s="323">
        <v>0.8</v>
      </c>
      <c r="F381" s="325"/>
      <c r="G381" s="100">
        <v>0.5</v>
      </c>
      <c r="H381" s="100">
        <f t="shared" si="13"/>
        <v>0.4</v>
      </c>
    </row>
    <row r="382" spans="2:8" x14ac:dyDescent="0.2">
      <c r="B382" s="314" t="s">
        <v>145</v>
      </c>
      <c r="C382" s="315"/>
      <c r="D382" s="315"/>
      <c r="E382" s="315"/>
      <c r="F382" s="315"/>
      <c r="G382" s="316"/>
      <c r="H382" s="92">
        <f>H376-H377-H378+H379-H380-H381</f>
        <v>23.07</v>
      </c>
    </row>
    <row r="383" spans="2:8" x14ac:dyDescent="0.2">
      <c r="B383" s="108" t="s">
        <v>444</v>
      </c>
      <c r="C383" s="90" t="s">
        <v>153</v>
      </c>
      <c r="D383" s="100"/>
      <c r="E383" s="323"/>
      <c r="F383" s="325"/>
      <c r="G383" s="100"/>
      <c r="H383" s="100"/>
    </row>
    <row r="384" spans="2:8" x14ac:dyDescent="0.2">
      <c r="B384" s="107"/>
      <c r="C384" s="90" t="s">
        <v>179</v>
      </c>
      <c r="D384" s="100"/>
      <c r="E384" s="323">
        <f>2+1.5+2+1.5</f>
        <v>7</v>
      </c>
      <c r="F384" s="325"/>
      <c r="G384" s="100">
        <v>3</v>
      </c>
      <c r="H384" s="100">
        <f>G384*E384</f>
        <v>21</v>
      </c>
    </row>
    <row r="385" spans="2:8" x14ac:dyDescent="0.2">
      <c r="B385" s="107"/>
      <c r="C385" s="90" t="s">
        <v>175</v>
      </c>
      <c r="D385" s="100"/>
      <c r="E385" s="323">
        <v>0.8</v>
      </c>
      <c r="F385" s="325"/>
      <c r="G385" s="100">
        <v>2.1</v>
      </c>
      <c r="H385" s="100">
        <f t="shared" ref="H385:H388" si="14">G385*E385</f>
        <v>1.6800000000000002</v>
      </c>
    </row>
    <row r="386" spans="2:8" x14ac:dyDescent="0.2">
      <c r="B386" s="107"/>
      <c r="C386" s="90" t="s">
        <v>176</v>
      </c>
      <c r="D386" s="100"/>
      <c r="E386" s="323">
        <v>0.6</v>
      </c>
      <c r="F386" s="325"/>
      <c r="G386" s="100">
        <v>0.6</v>
      </c>
      <c r="H386" s="100">
        <f t="shared" si="14"/>
        <v>0.36</v>
      </c>
    </row>
    <row r="387" spans="2:8" x14ac:dyDescent="0.2">
      <c r="B387" s="107"/>
      <c r="C387" s="90" t="s">
        <v>180</v>
      </c>
      <c r="D387" s="100"/>
      <c r="E387" s="323">
        <f>2.15+1.65</f>
        <v>3.8</v>
      </c>
      <c r="F387" s="325"/>
      <c r="G387" s="100">
        <v>3</v>
      </c>
      <c r="H387" s="100">
        <f t="shared" si="14"/>
        <v>11.399999999999999</v>
      </c>
    </row>
    <row r="388" spans="2:8" x14ac:dyDescent="0.2">
      <c r="B388" s="107"/>
      <c r="C388" s="90" t="s">
        <v>176</v>
      </c>
      <c r="D388" s="100"/>
      <c r="E388" s="323">
        <v>0.6</v>
      </c>
      <c r="F388" s="325"/>
      <c r="G388" s="100">
        <v>0.6</v>
      </c>
      <c r="H388" s="100">
        <f t="shared" si="14"/>
        <v>0.36</v>
      </c>
    </row>
    <row r="389" spans="2:8" x14ac:dyDescent="0.2">
      <c r="B389" s="314" t="s">
        <v>145</v>
      </c>
      <c r="C389" s="315"/>
      <c r="D389" s="315"/>
      <c r="E389" s="315"/>
      <c r="F389" s="315"/>
      <c r="G389" s="316"/>
      <c r="H389" s="92">
        <f>H384-H385-H386+H387-H388</f>
        <v>30</v>
      </c>
    </row>
    <row r="390" spans="2:8" x14ac:dyDescent="0.2">
      <c r="B390" s="108" t="s">
        <v>445</v>
      </c>
      <c r="C390" s="90" t="s">
        <v>181</v>
      </c>
      <c r="D390" s="100"/>
      <c r="E390" s="323"/>
      <c r="F390" s="325"/>
      <c r="G390" s="100"/>
      <c r="H390" s="100"/>
    </row>
    <row r="391" spans="2:8" x14ac:dyDescent="0.2">
      <c r="B391" s="107"/>
      <c r="C391" s="90" t="s">
        <v>179</v>
      </c>
      <c r="D391" s="100"/>
      <c r="E391" s="323">
        <f>2+1.5+2+1.5</f>
        <v>7</v>
      </c>
      <c r="F391" s="325"/>
      <c r="G391" s="100">
        <v>3</v>
      </c>
      <c r="H391" s="100">
        <f>G391*E391</f>
        <v>21</v>
      </c>
    </row>
    <row r="392" spans="2:8" x14ac:dyDescent="0.2">
      <c r="B392" s="107"/>
      <c r="C392" s="90" t="s">
        <v>175</v>
      </c>
      <c r="D392" s="100"/>
      <c r="E392" s="323">
        <v>0.8</v>
      </c>
      <c r="F392" s="325"/>
      <c r="G392" s="100">
        <v>2.1</v>
      </c>
      <c r="H392" s="100">
        <f t="shared" ref="H392:H395" si="15">G392*E392</f>
        <v>1.6800000000000002</v>
      </c>
    </row>
    <row r="393" spans="2:8" x14ac:dyDescent="0.2">
      <c r="B393" s="107"/>
      <c r="C393" s="90" t="s">
        <v>176</v>
      </c>
      <c r="D393" s="100"/>
      <c r="E393" s="323">
        <v>0.6</v>
      </c>
      <c r="F393" s="325"/>
      <c r="G393" s="100">
        <v>0.6</v>
      </c>
      <c r="H393" s="100">
        <f t="shared" si="15"/>
        <v>0.36</v>
      </c>
    </row>
    <row r="394" spans="2:8" x14ac:dyDescent="0.2">
      <c r="B394" s="107"/>
      <c r="C394" s="90" t="s">
        <v>182</v>
      </c>
      <c r="D394" s="100"/>
      <c r="E394" s="323">
        <f>2.15+1.8</f>
        <v>3.95</v>
      </c>
      <c r="F394" s="325"/>
      <c r="G394" s="100">
        <v>3</v>
      </c>
      <c r="H394" s="100">
        <f t="shared" si="15"/>
        <v>11.850000000000001</v>
      </c>
    </row>
    <row r="395" spans="2:8" x14ac:dyDescent="0.2">
      <c r="B395" s="107"/>
      <c r="C395" s="90" t="s">
        <v>176</v>
      </c>
      <c r="D395" s="100"/>
      <c r="E395" s="323">
        <v>0.6</v>
      </c>
      <c r="F395" s="325"/>
      <c r="G395" s="100">
        <v>0.6</v>
      </c>
      <c r="H395" s="100">
        <f t="shared" si="15"/>
        <v>0.36</v>
      </c>
    </row>
    <row r="396" spans="2:8" x14ac:dyDescent="0.2">
      <c r="B396" s="314" t="s">
        <v>145</v>
      </c>
      <c r="C396" s="315"/>
      <c r="D396" s="315"/>
      <c r="E396" s="315"/>
      <c r="F396" s="315"/>
      <c r="G396" s="316"/>
      <c r="H396" s="92">
        <f>H391-H392-H393+H394-H395</f>
        <v>30.450000000000003</v>
      </c>
    </row>
    <row r="397" spans="2:8" x14ac:dyDescent="0.2">
      <c r="B397" s="108" t="s">
        <v>446</v>
      </c>
      <c r="C397" s="104" t="s">
        <v>72</v>
      </c>
      <c r="D397" s="100"/>
      <c r="E397" s="323"/>
      <c r="F397" s="325"/>
      <c r="G397" s="100"/>
      <c r="H397" s="100"/>
    </row>
    <row r="398" spans="2:8" x14ac:dyDescent="0.2">
      <c r="B398" s="92"/>
      <c r="C398" s="104" t="s">
        <v>197</v>
      </c>
      <c r="D398" s="100"/>
      <c r="E398" s="323">
        <f>1.4+0.15+1.4</f>
        <v>2.9499999999999997</v>
      </c>
      <c r="F398" s="325"/>
      <c r="G398" s="100">
        <v>3</v>
      </c>
      <c r="H398" s="100">
        <f>G398*E398</f>
        <v>8.85</v>
      </c>
    </row>
    <row r="399" spans="2:8" x14ac:dyDescent="0.2">
      <c r="B399" s="314" t="s">
        <v>145</v>
      </c>
      <c r="C399" s="315"/>
      <c r="D399" s="315"/>
      <c r="E399" s="315"/>
      <c r="F399" s="315"/>
      <c r="G399" s="316"/>
      <c r="H399" s="92">
        <f>H398</f>
        <v>8.85</v>
      </c>
    </row>
    <row r="400" spans="2:8" x14ac:dyDescent="0.2">
      <c r="B400" s="108" t="s">
        <v>447</v>
      </c>
      <c r="C400" s="104" t="s">
        <v>73</v>
      </c>
      <c r="D400" s="100"/>
      <c r="E400" s="323"/>
      <c r="F400" s="325"/>
      <c r="G400" s="100"/>
      <c r="H400" s="100"/>
    </row>
    <row r="401" spans="2:8" x14ac:dyDescent="0.2">
      <c r="B401" s="92"/>
      <c r="C401" s="104" t="s">
        <v>207</v>
      </c>
      <c r="D401" s="100"/>
      <c r="E401" s="323">
        <v>1.6</v>
      </c>
      <c r="F401" s="325"/>
      <c r="G401" s="100">
        <v>3</v>
      </c>
      <c r="H401" s="100">
        <f>G401*E401</f>
        <v>4.8000000000000007</v>
      </c>
    </row>
    <row r="402" spans="2:8" x14ac:dyDescent="0.2">
      <c r="B402" s="92"/>
      <c r="C402" s="104" t="s">
        <v>175</v>
      </c>
      <c r="D402" s="100"/>
      <c r="E402" s="323">
        <v>0.8</v>
      </c>
      <c r="F402" s="325"/>
      <c r="G402" s="100">
        <v>2.1</v>
      </c>
      <c r="H402" s="100">
        <f>G402*E402</f>
        <v>1.6800000000000002</v>
      </c>
    </row>
    <row r="403" spans="2:8" x14ac:dyDescent="0.2">
      <c r="B403" s="314" t="s">
        <v>145</v>
      </c>
      <c r="C403" s="315"/>
      <c r="D403" s="315"/>
      <c r="E403" s="315"/>
      <c r="F403" s="315"/>
      <c r="G403" s="316"/>
      <c r="H403" s="92">
        <f>H401-H402</f>
        <v>3.1200000000000006</v>
      </c>
    </row>
    <row r="404" spans="2:8" x14ac:dyDescent="0.2">
      <c r="B404" s="314" t="s">
        <v>10</v>
      </c>
      <c r="C404" s="315"/>
      <c r="D404" s="315"/>
      <c r="E404" s="315"/>
      <c r="F404" s="315"/>
      <c r="G404" s="316"/>
      <c r="H404" s="85">
        <f>H396+H389+H382+H374+H399+H403</f>
        <v>160.43999999999997</v>
      </c>
    </row>
    <row r="405" spans="2:8" s="96" customFormat="1" x14ac:dyDescent="0.2">
      <c r="B405" s="124" t="s">
        <v>322</v>
      </c>
      <c r="C405" s="140" t="str">
        <f>Orçamento!E109</f>
        <v xml:space="preserve">EMBOÇO (1CI:4 ARML) </v>
      </c>
      <c r="D405" s="31" t="s">
        <v>8</v>
      </c>
      <c r="E405" s="326"/>
      <c r="F405" s="327"/>
      <c r="G405" s="92"/>
      <c r="H405" s="92"/>
    </row>
    <row r="406" spans="2:8" x14ac:dyDescent="0.2">
      <c r="B406" s="108" t="s">
        <v>448</v>
      </c>
      <c r="C406" s="90" t="s">
        <v>153</v>
      </c>
      <c r="D406" s="100"/>
      <c r="E406" s="323"/>
      <c r="F406" s="325"/>
      <c r="G406" s="100"/>
      <c r="H406" s="100"/>
    </row>
    <row r="407" spans="2:8" x14ac:dyDescent="0.2">
      <c r="B407" s="107"/>
      <c r="C407" s="90" t="s">
        <v>179</v>
      </c>
      <c r="D407" s="100"/>
      <c r="E407" s="323">
        <f>2+1.5+2+1.5</f>
        <v>7</v>
      </c>
      <c r="F407" s="325"/>
      <c r="G407" s="100">
        <v>3</v>
      </c>
      <c r="H407" s="100">
        <f>G407*E407</f>
        <v>21</v>
      </c>
    </row>
    <row r="408" spans="2:8" x14ac:dyDescent="0.2">
      <c r="B408" s="107"/>
      <c r="C408" s="90" t="s">
        <v>175</v>
      </c>
      <c r="D408" s="100"/>
      <c r="E408" s="323">
        <v>0.8</v>
      </c>
      <c r="F408" s="325"/>
      <c r="G408" s="100">
        <v>2.1</v>
      </c>
      <c r="H408" s="100">
        <f t="shared" ref="H408:H409" si="16">G408*E408</f>
        <v>1.6800000000000002</v>
      </c>
    </row>
    <row r="409" spans="2:8" x14ac:dyDescent="0.2">
      <c r="B409" s="107"/>
      <c r="C409" s="90" t="s">
        <v>176</v>
      </c>
      <c r="D409" s="100"/>
      <c r="E409" s="323">
        <v>0.6</v>
      </c>
      <c r="F409" s="325"/>
      <c r="G409" s="100">
        <v>0.6</v>
      </c>
      <c r="H409" s="100">
        <f t="shared" si="16"/>
        <v>0.36</v>
      </c>
    </row>
    <row r="410" spans="2:8" x14ac:dyDescent="0.2">
      <c r="B410" s="314" t="s">
        <v>145</v>
      </c>
      <c r="C410" s="315"/>
      <c r="D410" s="315"/>
      <c r="E410" s="315"/>
      <c r="F410" s="315"/>
      <c r="G410" s="316"/>
      <c r="H410" s="92">
        <f>H407-H408-H409</f>
        <v>18.96</v>
      </c>
    </row>
    <row r="411" spans="2:8" x14ac:dyDescent="0.2">
      <c r="B411" s="108" t="s">
        <v>449</v>
      </c>
      <c r="C411" s="90" t="s">
        <v>181</v>
      </c>
      <c r="D411" s="100"/>
      <c r="E411" s="323"/>
      <c r="F411" s="325"/>
      <c r="G411" s="100"/>
      <c r="H411" s="100"/>
    </row>
    <row r="412" spans="2:8" x14ac:dyDescent="0.2">
      <c r="B412" s="107"/>
      <c r="C412" s="90" t="s">
        <v>179</v>
      </c>
      <c r="D412" s="100"/>
      <c r="E412" s="323">
        <f>2+1.5+2+1.5</f>
        <v>7</v>
      </c>
      <c r="F412" s="325"/>
      <c r="G412" s="100">
        <v>3</v>
      </c>
      <c r="H412" s="100">
        <f>G412*E412</f>
        <v>21</v>
      </c>
    </row>
    <row r="413" spans="2:8" x14ac:dyDescent="0.2">
      <c r="B413" s="107"/>
      <c r="C413" s="90" t="s">
        <v>175</v>
      </c>
      <c r="D413" s="100"/>
      <c r="E413" s="323">
        <v>0.8</v>
      </c>
      <c r="F413" s="325"/>
      <c r="G413" s="100">
        <v>2.1</v>
      </c>
      <c r="H413" s="100">
        <f t="shared" ref="H413:H414" si="17">G413*E413</f>
        <v>1.6800000000000002</v>
      </c>
    </row>
    <row r="414" spans="2:8" x14ac:dyDescent="0.2">
      <c r="B414" s="107"/>
      <c r="C414" s="90" t="s">
        <v>176</v>
      </c>
      <c r="D414" s="100"/>
      <c r="E414" s="323">
        <v>0.6</v>
      </c>
      <c r="F414" s="325"/>
      <c r="G414" s="100">
        <v>0.6</v>
      </c>
      <c r="H414" s="100">
        <f t="shared" si="17"/>
        <v>0.36</v>
      </c>
    </row>
    <row r="415" spans="2:8" x14ac:dyDescent="0.2">
      <c r="B415" s="314" t="s">
        <v>145</v>
      </c>
      <c r="C415" s="315"/>
      <c r="D415" s="315"/>
      <c r="E415" s="315"/>
      <c r="F415" s="315"/>
      <c r="G415" s="316"/>
      <c r="H415" s="92">
        <f>H412-H413-H414</f>
        <v>18.96</v>
      </c>
    </row>
    <row r="416" spans="2:8" x14ac:dyDescent="0.2">
      <c r="B416" s="108" t="s">
        <v>450</v>
      </c>
      <c r="C416" s="104" t="s">
        <v>72</v>
      </c>
      <c r="D416" s="100"/>
      <c r="E416" s="323"/>
      <c r="F416" s="325"/>
      <c r="G416" s="100"/>
      <c r="H416" s="100"/>
    </row>
    <row r="417" spans="2:8" x14ac:dyDescent="0.2">
      <c r="B417" s="92"/>
      <c r="C417" s="104" t="s">
        <v>197</v>
      </c>
      <c r="D417" s="100"/>
      <c r="E417" s="323">
        <f>1.4+0.15+1.4</f>
        <v>2.9499999999999997</v>
      </c>
      <c r="F417" s="325"/>
      <c r="G417" s="100">
        <v>1.6</v>
      </c>
      <c r="H417" s="100">
        <f>G417*E417</f>
        <v>4.72</v>
      </c>
    </row>
    <row r="418" spans="2:8" x14ac:dyDescent="0.2">
      <c r="B418" s="314" t="s">
        <v>145</v>
      </c>
      <c r="C418" s="315"/>
      <c r="D418" s="315"/>
      <c r="E418" s="315"/>
      <c r="F418" s="315"/>
      <c r="G418" s="316"/>
      <c r="H418" s="92">
        <f>H417</f>
        <v>4.72</v>
      </c>
    </row>
    <row r="419" spans="2:8" x14ac:dyDescent="0.2">
      <c r="B419" s="314" t="s">
        <v>10</v>
      </c>
      <c r="C419" s="315"/>
      <c r="D419" s="315"/>
      <c r="E419" s="315"/>
      <c r="F419" s="315"/>
      <c r="G419" s="316"/>
      <c r="H419" s="85">
        <f>H415+H410+H418</f>
        <v>42.64</v>
      </c>
    </row>
    <row r="420" spans="2:8" s="96" customFormat="1" x14ac:dyDescent="0.2">
      <c r="B420" s="141" t="s">
        <v>323</v>
      </c>
      <c r="C420" s="142" t="str">
        <f>Orçamento!E110</f>
        <v xml:space="preserve">REBOCO PAULISTA A-14 (1CALH:4ARMLC+100kgCI/M3) </v>
      </c>
      <c r="D420" s="143" t="s">
        <v>8</v>
      </c>
      <c r="E420" s="398"/>
      <c r="F420" s="399"/>
      <c r="G420" s="144"/>
      <c r="H420" s="144"/>
    </row>
    <row r="421" spans="2:8" x14ac:dyDescent="0.2">
      <c r="B421" s="145" t="s">
        <v>451</v>
      </c>
      <c r="C421" s="146" t="s">
        <v>159</v>
      </c>
      <c r="D421" s="147"/>
      <c r="E421" s="396"/>
      <c r="F421" s="397"/>
      <c r="G421" s="147"/>
      <c r="H421" s="147"/>
    </row>
    <row r="422" spans="2:8" x14ac:dyDescent="0.2">
      <c r="B422" s="148"/>
      <c r="C422" s="146" t="s">
        <v>174</v>
      </c>
      <c r="D422" s="147"/>
      <c r="E422" s="396">
        <f>1.4+18.57+1.4</f>
        <v>21.369999999999997</v>
      </c>
      <c r="F422" s="397"/>
      <c r="G422" s="147">
        <v>3</v>
      </c>
      <c r="H422" s="147">
        <f>G422*E422</f>
        <v>64.109999999999985</v>
      </c>
    </row>
    <row r="423" spans="2:8" x14ac:dyDescent="0.2">
      <c r="B423" s="148"/>
      <c r="C423" s="146" t="s">
        <v>175</v>
      </c>
      <c r="D423" s="147"/>
      <c r="E423" s="396">
        <v>0.8</v>
      </c>
      <c r="F423" s="397"/>
      <c r="G423" s="147">
        <v>2.1</v>
      </c>
      <c r="H423" s="147">
        <f t="shared" ref="H423:H425" si="18">G423*E423</f>
        <v>1.6800000000000002</v>
      </c>
    </row>
    <row r="424" spans="2:8" ht="16.5" customHeight="1" x14ac:dyDescent="0.2">
      <c r="B424" s="148"/>
      <c r="C424" s="146" t="s">
        <v>171</v>
      </c>
      <c r="D424" s="147"/>
      <c r="E424" s="396">
        <v>1.4</v>
      </c>
      <c r="F424" s="397"/>
      <c r="G424" s="147">
        <v>3</v>
      </c>
      <c r="H424" s="147">
        <f t="shared" si="18"/>
        <v>4.1999999999999993</v>
      </c>
    </row>
    <row r="425" spans="2:8" x14ac:dyDescent="0.2">
      <c r="B425" s="148"/>
      <c r="C425" s="146" t="s">
        <v>175</v>
      </c>
      <c r="D425" s="147"/>
      <c r="E425" s="396">
        <v>0.8</v>
      </c>
      <c r="F425" s="397"/>
      <c r="G425" s="147">
        <v>2.1</v>
      </c>
      <c r="H425" s="147">
        <f t="shared" si="18"/>
        <v>1.6800000000000002</v>
      </c>
    </row>
    <row r="426" spans="2:8" x14ac:dyDescent="0.2">
      <c r="B426" s="320" t="s">
        <v>145</v>
      </c>
      <c r="C426" s="321"/>
      <c r="D426" s="321"/>
      <c r="E426" s="321"/>
      <c r="F426" s="321"/>
      <c r="G426" s="322"/>
      <c r="H426" s="144">
        <f>H422+H424-H423-H425</f>
        <v>64.949999999999974</v>
      </c>
    </row>
    <row r="427" spans="2:8" x14ac:dyDescent="0.2">
      <c r="B427" s="145" t="s">
        <v>452</v>
      </c>
      <c r="C427" s="146" t="s">
        <v>140</v>
      </c>
      <c r="D427" s="147"/>
      <c r="E427" s="396"/>
      <c r="F427" s="397"/>
      <c r="G427" s="147"/>
      <c r="H427" s="147"/>
    </row>
    <row r="428" spans="2:8" x14ac:dyDescent="0.2">
      <c r="B428" s="148"/>
      <c r="C428" s="146" t="s">
        <v>177</v>
      </c>
      <c r="D428" s="147"/>
      <c r="E428" s="396">
        <f>2+1.74</f>
        <v>3.74</v>
      </c>
      <c r="F428" s="397"/>
      <c r="G428" s="147">
        <v>3.5</v>
      </c>
      <c r="H428" s="147">
        <f>G428*E428</f>
        <v>13.09</v>
      </c>
    </row>
    <row r="429" spans="2:8" x14ac:dyDescent="0.2">
      <c r="B429" s="148"/>
      <c r="C429" s="146" t="s">
        <v>175</v>
      </c>
      <c r="D429" s="147"/>
      <c r="E429" s="396">
        <v>0.8</v>
      </c>
      <c r="F429" s="397"/>
      <c r="G429" s="147">
        <v>2.1</v>
      </c>
      <c r="H429" s="147">
        <f t="shared" ref="H429:H433" si="19">G429*E429</f>
        <v>1.6800000000000002</v>
      </c>
    </row>
    <row r="430" spans="2:8" x14ac:dyDescent="0.2">
      <c r="B430" s="148"/>
      <c r="C430" s="146" t="s">
        <v>176</v>
      </c>
      <c r="D430" s="147"/>
      <c r="E430" s="396">
        <v>0.8</v>
      </c>
      <c r="F430" s="397"/>
      <c r="G430" s="147">
        <v>0.5</v>
      </c>
      <c r="H430" s="147">
        <f t="shared" si="19"/>
        <v>0.4</v>
      </c>
    </row>
    <row r="431" spans="2:8" x14ac:dyDescent="0.2">
      <c r="B431" s="148"/>
      <c r="C431" s="146" t="s">
        <v>178</v>
      </c>
      <c r="D431" s="147"/>
      <c r="E431" s="396">
        <f>2.15+1.89</f>
        <v>4.04</v>
      </c>
      <c r="F431" s="397"/>
      <c r="G431" s="147">
        <v>3.5</v>
      </c>
      <c r="H431" s="147">
        <f t="shared" si="19"/>
        <v>14.14</v>
      </c>
    </row>
    <row r="432" spans="2:8" x14ac:dyDescent="0.2">
      <c r="B432" s="148"/>
      <c r="C432" s="146" t="s">
        <v>175</v>
      </c>
      <c r="D432" s="147"/>
      <c r="E432" s="396">
        <v>0.8</v>
      </c>
      <c r="F432" s="397"/>
      <c r="G432" s="147">
        <v>2.1</v>
      </c>
      <c r="H432" s="147">
        <f t="shared" si="19"/>
        <v>1.6800000000000002</v>
      </c>
    </row>
    <row r="433" spans="2:8" x14ac:dyDescent="0.2">
      <c r="B433" s="148"/>
      <c r="C433" s="146" t="s">
        <v>176</v>
      </c>
      <c r="D433" s="147"/>
      <c r="E433" s="396">
        <v>0.8</v>
      </c>
      <c r="F433" s="397"/>
      <c r="G433" s="147">
        <v>0.5</v>
      </c>
      <c r="H433" s="147">
        <f t="shared" si="19"/>
        <v>0.4</v>
      </c>
    </row>
    <row r="434" spans="2:8" x14ac:dyDescent="0.2">
      <c r="B434" s="320" t="s">
        <v>145</v>
      </c>
      <c r="C434" s="321"/>
      <c r="D434" s="321"/>
      <c r="E434" s="321"/>
      <c r="F434" s="321"/>
      <c r="G434" s="322"/>
      <c r="H434" s="144">
        <f>H428-H429-H430+H431-H432-H433</f>
        <v>23.07</v>
      </c>
    </row>
    <row r="435" spans="2:8" x14ac:dyDescent="0.2">
      <c r="B435" s="145" t="s">
        <v>453</v>
      </c>
      <c r="C435" s="146" t="s">
        <v>153</v>
      </c>
      <c r="D435" s="147"/>
      <c r="E435" s="396"/>
      <c r="F435" s="397"/>
      <c r="G435" s="147"/>
      <c r="H435" s="147"/>
    </row>
    <row r="436" spans="2:8" x14ac:dyDescent="0.2">
      <c r="B436" s="148"/>
      <c r="C436" s="146" t="s">
        <v>180</v>
      </c>
      <c r="D436" s="147"/>
      <c r="E436" s="396">
        <f>2.15+1.65</f>
        <v>3.8</v>
      </c>
      <c r="F436" s="397"/>
      <c r="G436" s="147">
        <v>3</v>
      </c>
      <c r="H436" s="147">
        <f t="shared" ref="H436:H437" si="20">G436*E436</f>
        <v>11.399999999999999</v>
      </c>
    </row>
    <row r="437" spans="2:8" x14ac:dyDescent="0.2">
      <c r="B437" s="148"/>
      <c r="C437" s="146" t="s">
        <v>176</v>
      </c>
      <c r="D437" s="147"/>
      <c r="E437" s="396">
        <v>0.6</v>
      </c>
      <c r="F437" s="397"/>
      <c r="G437" s="147">
        <v>0.6</v>
      </c>
      <c r="H437" s="147">
        <f t="shared" si="20"/>
        <v>0.36</v>
      </c>
    </row>
    <row r="438" spans="2:8" x14ac:dyDescent="0.2">
      <c r="B438" s="320" t="s">
        <v>145</v>
      </c>
      <c r="C438" s="321"/>
      <c r="D438" s="321"/>
      <c r="E438" s="321"/>
      <c r="F438" s="321"/>
      <c r="G438" s="322"/>
      <c r="H438" s="144">
        <f>H436-H437</f>
        <v>11.04</v>
      </c>
    </row>
    <row r="439" spans="2:8" x14ac:dyDescent="0.2">
      <c r="B439" s="145" t="s">
        <v>454</v>
      </c>
      <c r="C439" s="146" t="s">
        <v>181</v>
      </c>
      <c r="D439" s="147"/>
      <c r="E439" s="396"/>
      <c r="F439" s="397"/>
      <c r="G439" s="147"/>
      <c r="H439" s="147"/>
    </row>
    <row r="440" spans="2:8" x14ac:dyDescent="0.2">
      <c r="B440" s="148"/>
      <c r="C440" s="146" t="s">
        <v>182</v>
      </c>
      <c r="D440" s="147"/>
      <c r="E440" s="396">
        <f>2.15+1.8</f>
        <v>3.95</v>
      </c>
      <c r="F440" s="397"/>
      <c r="G440" s="147">
        <v>3</v>
      </c>
      <c r="H440" s="147">
        <f t="shared" ref="H440:H441" si="21">G440*E440</f>
        <v>11.850000000000001</v>
      </c>
    </row>
    <row r="441" spans="2:8" x14ac:dyDescent="0.2">
      <c r="B441" s="148"/>
      <c r="C441" s="146" t="s">
        <v>176</v>
      </c>
      <c r="D441" s="147"/>
      <c r="E441" s="396">
        <v>0.6</v>
      </c>
      <c r="F441" s="397"/>
      <c r="G441" s="147">
        <v>0.6</v>
      </c>
      <c r="H441" s="147">
        <f t="shared" si="21"/>
        <v>0.36</v>
      </c>
    </row>
    <row r="442" spans="2:8" x14ac:dyDescent="0.2">
      <c r="B442" s="320" t="s">
        <v>145</v>
      </c>
      <c r="C442" s="321"/>
      <c r="D442" s="321"/>
      <c r="E442" s="321"/>
      <c r="F442" s="321"/>
      <c r="G442" s="322"/>
      <c r="H442" s="144">
        <f>H440-H441</f>
        <v>11.490000000000002</v>
      </c>
    </row>
    <row r="443" spans="2:8" x14ac:dyDescent="0.2">
      <c r="B443" s="145" t="s">
        <v>455</v>
      </c>
      <c r="C443" s="109" t="s">
        <v>72</v>
      </c>
      <c r="D443" s="147"/>
      <c r="E443" s="396"/>
      <c r="F443" s="397"/>
      <c r="G443" s="147"/>
      <c r="H443" s="147"/>
    </row>
    <row r="444" spans="2:8" x14ac:dyDescent="0.2">
      <c r="B444" s="144"/>
      <c r="C444" s="109" t="s">
        <v>197</v>
      </c>
      <c r="D444" s="147"/>
      <c r="E444" s="396">
        <f>1.4+0.15+1.4</f>
        <v>2.9499999999999997</v>
      </c>
      <c r="F444" s="397"/>
      <c r="G444" s="147">
        <v>1.4</v>
      </c>
      <c r="H444" s="147">
        <f>G444*E444</f>
        <v>4.129999999999999</v>
      </c>
    </row>
    <row r="445" spans="2:8" ht="15.75" customHeight="1" x14ac:dyDescent="0.2">
      <c r="B445" s="320" t="s">
        <v>145</v>
      </c>
      <c r="C445" s="321"/>
      <c r="D445" s="321"/>
      <c r="E445" s="321"/>
      <c r="F445" s="321"/>
      <c r="G445" s="322"/>
      <c r="H445" s="144">
        <f>H444</f>
        <v>4.129999999999999</v>
      </c>
    </row>
    <row r="446" spans="2:8" x14ac:dyDescent="0.2">
      <c r="B446" s="145" t="s">
        <v>456</v>
      </c>
      <c r="C446" s="109" t="s">
        <v>73</v>
      </c>
      <c r="D446" s="147"/>
      <c r="E446" s="396"/>
      <c r="F446" s="397"/>
      <c r="G446" s="147"/>
      <c r="H446" s="147"/>
    </row>
    <row r="447" spans="2:8" x14ac:dyDescent="0.2">
      <c r="B447" s="144"/>
      <c r="C447" s="109" t="s">
        <v>207</v>
      </c>
      <c r="D447" s="147"/>
      <c r="E447" s="396">
        <v>1.6</v>
      </c>
      <c r="F447" s="397"/>
      <c r="G447" s="147">
        <v>3</v>
      </c>
      <c r="H447" s="147">
        <f>G447*E447</f>
        <v>4.8000000000000007</v>
      </c>
    </row>
    <row r="448" spans="2:8" x14ac:dyDescent="0.2">
      <c r="B448" s="144"/>
      <c r="C448" s="109" t="s">
        <v>175</v>
      </c>
      <c r="D448" s="147"/>
      <c r="E448" s="396">
        <v>0.8</v>
      </c>
      <c r="F448" s="397"/>
      <c r="G448" s="147">
        <v>2.1</v>
      </c>
      <c r="H448" s="147">
        <f>G448*E448</f>
        <v>1.6800000000000002</v>
      </c>
    </row>
    <row r="449" spans="2:8" x14ac:dyDescent="0.2">
      <c r="B449" s="320" t="s">
        <v>145</v>
      </c>
      <c r="C449" s="321"/>
      <c r="D449" s="321"/>
      <c r="E449" s="321"/>
      <c r="F449" s="321"/>
      <c r="G449" s="322"/>
      <c r="H449" s="144">
        <f>H447-H448</f>
        <v>3.1200000000000006</v>
      </c>
    </row>
    <row r="450" spans="2:8" x14ac:dyDescent="0.2">
      <c r="B450" s="320" t="s">
        <v>10</v>
      </c>
      <c r="C450" s="321"/>
      <c r="D450" s="321"/>
      <c r="E450" s="321"/>
      <c r="F450" s="321"/>
      <c r="G450" s="322"/>
      <c r="H450" s="149">
        <f>H442+H438+H434+H426+H445+H449</f>
        <v>117.79999999999998</v>
      </c>
    </row>
    <row r="451" spans="2:8" s="96" customFormat="1" x14ac:dyDescent="0.2">
      <c r="B451" s="124" t="s">
        <v>321</v>
      </c>
      <c r="C451" s="140" t="str">
        <f>Orçamento!E111</f>
        <v xml:space="preserve">REVESTIMENTO COM CERÂMICA </v>
      </c>
      <c r="D451" s="31" t="s">
        <v>24</v>
      </c>
      <c r="E451" s="391" t="s">
        <v>172</v>
      </c>
      <c r="F451" s="391"/>
      <c r="G451" s="119" t="s">
        <v>79</v>
      </c>
      <c r="H451" s="119" t="s">
        <v>9</v>
      </c>
    </row>
    <row r="452" spans="2:8" x14ac:dyDescent="0.2">
      <c r="B452" s="108" t="s">
        <v>457</v>
      </c>
      <c r="C452" s="99" t="s">
        <v>153</v>
      </c>
      <c r="D452" s="12"/>
      <c r="E452" s="335"/>
      <c r="F452" s="337"/>
      <c r="G452" s="100"/>
      <c r="H452" s="100"/>
    </row>
    <row r="453" spans="2:8" x14ac:dyDescent="0.2">
      <c r="B453" s="107"/>
      <c r="C453" s="99" t="s">
        <v>208</v>
      </c>
      <c r="D453" s="12"/>
      <c r="E453" s="363">
        <f>2+1.5+2+1.5</f>
        <v>7</v>
      </c>
      <c r="F453" s="363"/>
      <c r="G453" s="37">
        <v>3</v>
      </c>
      <c r="H453" s="37">
        <f>E453*G453</f>
        <v>21</v>
      </c>
    </row>
    <row r="454" spans="2:8" x14ac:dyDescent="0.2">
      <c r="B454" s="107"/>
      <c r="C454" s="90" t="s">
        <v>175</v>
      </c>
      <c r="D454" s="12"/>
      <c r="E454" s="363">
        <v>0.8</v>
      </c>
      <c r="F454" s="363"/>
      <c r="G454" s="37">
        <v>2.1</v>
      </c>
      <c r="H454" s="37">
        <f>E454*G454</f>
        <v>1.6800000000000002</v>
      </c>
    </row>
    <row r="455" spans="2:8" x14ac:dyDescent="0.2">
      <c r="B455" s="314" t="s">
        <v>145</v>
      </c>
      <c r="C455" s="315"/>
      <c r="D455" s="315"/>
      <c r="E455" s="315"/>
      <c r="F455" s="315"/>
      <c r="G455" s="316"/>
      <c r="H455" s="92">
        <f>H453-H454</f>
        <v>19.32</v>
      </c>
    </row>
    <row r="456" spans="2:8" x14ac:dyDescent="0.2">
      <c r="B456" s="108" t="s">
        <v>458</v>
      </c>
      <c r="C456" s="99" t="s">
        <v>122</v>
      </c>
      <c r="D456" s="12"/>
      <c r="E456" s="363"/>
      <c r="F456" s="363"/>
      <c r="G456" s="37"/>
      <c r="H456" s="37"/>
    </row>
    <row r="457" spans="2:8" x14ac:dyDescent="0.2">
      <c r="B457" s="107"/>
      <c r="C457" s="99" t="s">
        <v>208</v>
      </c>
      <c r="D457" s="12"/>
      <c r="E457" s="363">
        <f>2+1.5+2+1.5</f>
        <v>7</v>
      </c>
      <c r="F457" s="363"/>
      <c r="G457" s="37">
        <v>3</v>
      </c>
      <c r="H457" s="37">
        <f>E457*G457</f>
        <v>21</v>
      </c>
    </row>
    <row r="458" spans="2:8" x14ac:dyDescent="0.2">
      <c r="B458" s="107"/>
      <c r="C458" s="90" t="s">
        <v>175</v>
      </c>
      <c r="D458" s="12"/>
      <c r="E458" s="363">
        <v>0.8</v>
      </c>
      <c r="F458" s="363"/>
      <c r="G458" s="37">
        <v>2.1</v>
      </c>
      <c r="H458" s="37">
        <f>E458*G458</f>
        <v>1.6800000000000002</v>
      </c>
    </row>
    <row r="459" spans="2:8" x14ac:dyDescent="0.2">
      <c r="B459" s="314" t="s">
        <v>145</v>
      </c>
      <c r="C459" s="315"/>
      <c r="D459" s="315"/>
      <c r="E459" s="315"/>
      <c r="F459" s="315"/>
      <c r="G459" s="316"/>
      <c r="H459" s="92">
        <f>H457-H458</f>
        <v>19.32</v>
      </c>
    </row>
    <row r="460" spans="2:8" x14ac:dyDescent="0.2">
      <c r="B460" s="108" t="s">
        <v>459</v>
      </c>
      <c r="C460" s="104" t="s">
        <v>72</v>
      </c>
      <c r="D460" s="100"/>
      <c r="E460" s="323"/>
      <c r="F460" s="325"/>
      <c r="G460" s="100"/>
      <c r="H460" s="100"/>
    </row>
    <row r="461" spans="2:8" x14ac:dyDescent="0.2">
      <c r="B461" s="92"/>
      <c r="C461" s="104" t="s">
        <v>197</v>
      </c>
      <c r="D461" s="100"/>
      <c r="E461" s="323">
        <f>1.4+0.15+1.4</f>
        <v>2.9499999999999997</v>
      </c>
      <c r="F461" s="325"/>
      <c r="G461" s="100">
        <v>1.6</v>
      </c>
      <c r="H461" s="100">
        <f>G461*E461</f>
        <v>4.72</v>
      </c>
    </row>
    <row r="462" spans="2:8" x14ac:dyDescent="0.2">
      <c r="B462" s="314" t="s">
        <v>145</v>
      </c>
      <c r="C462" s="315"/>
      <c r="D462" s="315"/>
      <c r="E462" s="315"/>
      <c r="F462" s="315"/>
      <c r="G462" s="316"/>
      <c r="H462" s="92">
        <f>H461</f>
        <v>4.72</v>
      </c>
    </row>
    <row r="463" spans="2:8" x14ac:dyDescent="0.2">
      <c r="B463" s="314" t="s">
        <v>10</v>
      </c>
      <c r="C463" s="315"/>
      <c r="D463" s="315"/>
      <c r="E463" s="315"/>
      <c r="F463" s="315"/>
      <c r="G463" s="316"/>
      <c r="H463" s="85">
        <f>H455+H459+H462</f>
        <v>43.36</v>
      </c>
    </row>
    <row r="464" spans="2:8" s="96" customFormat="1" x14ac:dyDescent="0.2">
      <c r="B464" s="92" t="s">
        <v>579</v>
      </c>
      <c r="C464" s="150" t="str">
        <f>Orçamento!E112</f>
        <v xml:space="preserve">RASGO E ENCHIMENTO DE ALVENARIA </v>
      </c>
      <c r="D464" s="128" t="s">
        <v>98</v>
      </c>
      <c r="E464" s="92" t="s">
        <v>580</v>
      </c>
      <c r="F464" s="326" t="s">
        <v>74</v>
      </c>
      <c r="G464" s="327"/>
      <c r="H464" s="92" t="s">
        <v>9</v>
      </c>
    </row>
    <row r="465" spans="2:8" x14ac:dyDescent="0.2">
      <c r="B465" s="108" t="s">
        <v>506</v>
      </c>
      <c r="C465" s="99" t="s">
        <v>513</v>
      </c>
      <c r="D465" s="12"/>
      <c r="E465" s="151">
        <v>4</v>
      </c>
      <c r="F465" s="323">
        <v>0.1</v>
      </c>
      <c r="G465" s="325"/>
      <c r="H465" s="100">
        <f>F465*E465</f>
        <v>0.4</v>
      </c>
    </row>
    <row r="466" spans="2:8" x14ac:dyDescent="0.2">
      <c r="B466" s="108" t="s">
        <v>507</v>
      </c>
      <c r="C466" s="99" t="s">
        <v>514</v>
      </c>
      <c r="D466" s="12"/>
      <c r="E466" s="151">
        <v>4</v>
      </c>
      <c r="F466" s="323">
        <v>0.1</v>
      </c>
      <c r="G466" s="325"/>
      <c r="H466" s="100">
        <f t="shared" ref="H466:H471" si="22">F466*E466</f>
        <v>0.4</v>
      </c>
    </row>
    <row r="467" spans="2:8" x14ac:dyDescent="0.2">
      <c r="B467" s="108" t="s">
        <v>508</v>
      </c>
      <c r="C467" s="99" t="s">
        <v>515</v>
      </c>
      <c r="D467" s="12"/>
      <c r="E467" s="151">
        <v>4</v>
      </c>
      <c r="F467" s="323">
        <v>0.1</v>
      </c>
      <c r="G467" s="325"/>
      <c r="H467" s="100">
        <f t="shared" si="22"/>
        <v>0.4</v>
      </c>
    </row>
    <row r="468" spans="2:8" x14ac:dyDescent="0.2">
      <c r="B468" s="108" t="s">
        <v>509</v>
      </c>
      <c r="C468" s="99" t="s">
        <v>516</v>
      </c>
      <c r="D468" s="12"/>
      <c r="E468" s="151">
        <v>4</v>
      </c>
      <c r="F468" s="323">
        <v>0.1</v>
      </c>
      <c r="G468" s="325"/>
      <c r="H468" s="100">
        <f t="shared" si="22"/>
        <v>0.4</v>
      </c>
    </row>
    <row r="469" spans="2:8" x14ac:dyDescent="0.2">
      <c r="B469" s="108" t="s">
        <v>510</v>
      </c>
      <c r="C469" s="99" t="s">
        <v>517</v>
      </c>
      <c r="D469" s="12"/>
      <c r="E469" s="151">
        <v>4</v>
      </c>
      <c r="F469" s="323">
        <v>0.1</v>
      </c>
      <c r="G469" s="325"/>
      <c r="H469" s="100">
        <f t="shared" si="22"/>
        <v>0.4</v>
      </c>
    </row>
    <row r="470" spans="2:8" x14ac:dyDescent="0.2">
      <c r="B470" s="108" t="s">
        <v>511</v>
      </c>
      <c r="C470" s="27" t="s">
        <v>518</v>
      </c>
      <c r="D470" s="12"/>
      <c r="E470" s="151">
        <v>6</v>
      </c>
      <c r="F470" s="323">
        <v>0.1</v>
      </c>
      <c r="G470" s="325"/>
      <c r="H470" s="100">
        <f t="shared" si="22"/>
        <v>0.60000000000000009</v>
      </c>
    </row>
    <row r="471" spans="2:8" x14ac:dyDescent="0.2">
      <c r="B471" s="108" t="s">
        <v>512</v>
      </c>
      <c r="C471" s="27" t="s">
        <v>519</v>
      </c>
      <c r="D471" s="12"/>
      <c r="E471" s="151">
        <v>6</v>
      </c>
      <c r="F471" s="323">
        <v>0.1</v>
      </c>
      <c r="G471" s="325"/>
      <c r="H471" s="100">
        <f t="shared" si="22"/>
        <v>0.60000000000000009</v>
      </c>
    </row>
    <row r="472" spans="2:8" ht="15" thickBot="1" x14ac:dyDescent="0.25">
      <c r="B472" s="317" t="s">
        <v>10</v>
      </c>
      <c r="C472" s="318"/>
      <c r="D472" s="318"/>
      <c r="E472" s="318"/>
      <c r="F472" s="318"/>
      <c r="G472" s="319"/>
      <c r="H472" s="87">
        <f>SUM(H465:H471)</f>
        <v>3.2</v>
      </c>
    </row>
    <row r="473" spans="2:8" ht="15.75" customHeight="1" thickBot="1" x14ac:dyDescent="0.25">
      <c r="B473" s="281" t="s">
        <v>60</v>
      </c>
      <c r="C473" s="282"/>
      <c r="D473" s="282"/>
      <c r="E473" s="282"/>
      <c r="F473" s="282"/>
      <c r="G473" s="282"/>
      <c r="H473" s="283"/>
    </row>
    <row r="474" spans="2:8" s="96" customFormat="1" x14ac:dyDescent="0.2">
      <c r="B474" s="152" t="s">
        <v>324</v>
      </c>
      <c r="C474" s="140" t="str">
        <f>Orçamento!E115</f>
        <v xml:space="preserve">FORRO DE PVC COM ESTRUTURA EM METALON PINTADA COM TINTA ALQUÍDICA D.F. </v>
      </c>
      <c r="D474" s="31" t="s">
        <v>24</v>
      </c>
      <c r="E474" s="330" t="s">
        <v>172</v>
      </c>
      <c r="F474" s="331"/>
      <c r="G474" s="119" t="s">
        <v>173</v>
      </c>
      <c r="H474" s="119" t="s">
        <v>150</v>
      </c>
    </row>
    <row r="475" spans="2:8" x14ac:dyDescent="0.2">
      <c r="B475" s="91" t="s">
        <v>460</v>
      </c>
      <c r="C475" s="99" t="s">
        <v>72</v>
      </c>
      <c r="D475" s="37"/>
      <c r="E475" s="328">
        <v>3.2</v>
      </c>
      <c r="F475" s="329"/>
      <c r="G475" s="37">
        <v>1.7</v>
      </c>
      <c r="H475" s="37">
        <f>G475*E475</f>
        <v>5.44</v>
      </c>
    </row>
    <row r="476" spans="2:8" x14ac:dyDescent="0.2">
      <c r="B476" s="91" t="s">
        <v>461</v>
      </c>
      <c r="C476" s="99" t="s">
        <v>73</v>
      </c>
      <c r="D476" s="110"/>
      <c r="E476" s="328">
        <v>3.2</v>
      </c>
      <c r="F476" s="329"/>
      <c r="G476" s="110">
        <v>1.8</v>
      </c>
      <c r="H476" s="37">
        <f t="shared" ref="H476:H478" si="23">G476*E476</f>
        <v>5.7600000000000007</v>
      </c>
    </row>
    <row r="477" spans="2:8" x14ac:dyDescent="0.2">
      <c r="B477" s="91" t="s">
        <v>462</v>
      </c>
      <c r="C477" s="99" t="s">
        <v>153</v>
      </c>
      <c r="D477" s="100"/>
      <c r="E477" s="328">
        <v>2</v>
      </c>
      <c r="F477" s="329"/>
      <c r="G477" s="100">
        <v>1.5</v>
      </c>
      <c r="H477" s="37">
        <f t="shared" si="23"/>
        <v>3</v>
      </c>
    </row>
    <row r="478" spans="2:8" x14ac:dyDescent="0.2">
      <c r="B478" s="91" t="s">
        <v>463</v>
      </c>
      <c r="C478" s="99" t="s">
        <v>122</v>
      </c>
      <c r="D478" s="100"/>
      <c r="E478" s="328">
        <v>2</v>
      </c>
      <c r="F478" s="329"/>
      <c r="G478" s="100">
        <v>1.5</v>
      </c>
      <c r="H478" s="37">
        <f t="shared" si="23"/>
        <v>3</v>
      </c>
    </row>
    <row r="479" spans="2:8" ht="15" thickBot="1" x14ac:dyDescent="0.25">
      <c r="B479" s="317" t="s">
        <v>10</v>
      </c>
      <c r="C479" s="318"/>
      <c r="D479" s="318"/>
      <c r="E479" s="318"/>
      <c r="F479" s="318"/>
      <c r="G479" s="319"/>
      <c r="H479" s="87">
        <f>SUM(H475:H478)</f>
        <v>17.200000000000003</v>
      </c>
    </row>
    <row r="480" spans="2:8" ht="15" customHeight="1" thickBot="1" x14ac:dyDescent="0.25">
      <c r="B480" s="281" t="s">
        <v>184</v>
      </c>
      <c r="C480" s="282"/>
      <c r="D480" s="282"/>
      <c r="E480" s="282"/>
      <c r="F480" s="282"/>
      <c r="G480" s="282"/>
      <c r="H480" s="283"/>
    </row>
    <row r="481" spans="2:8" s="96" customFormat="1" x14ac:dyDescent="0.2">
      <c r="B481" s="132" t="s">
        <v>325</v>
      </c>
      <c r="C481" s="140" t="str">
        <f>Orçamento!E118</f>
        <v xml:space="preserve">LASTRO DE CONCRETO REGULARIZADO IMPERMEABILIZADO 1:3:6 ESP=5CM (BASE) </v>
      </c>
      <c r="D481" s="31" t="s">
        <v>24</v>
      </c>
      <c r="E481" s="330" t="s">
        <v>172</v>
      </c>
      <c r="F481" s="331"/>
      <c r="G481" s="119" t="s">
        <v>173</v>
      </c>
      <c r="H481" s="119" t="s">
        <v>150</v>
      </c>
    </row>
    <row r="482" spans="2:8" x14ac:dyDescent="0.2">
      <c r="B482" s="108" t="s">
        <v>464</v>
      </c>
      <c r="C482" s="99" t="s">
        <v>153</v>
      </c>
      <c r="D482" s="100"/>
      <c r="E482" s="328">
        <v>2</v>
      </c>
      <c r="F482" s="329"/>
      <c r="G482" s="100">
        <v>1.5</v>
      </c>
      <c r="H482" s="37">
        <f t="shared" ref="H482:H483" si="24">G482*E482</f>
        <v>3</v>
      </c>
    </row>
    <row r="483" spans="2:8" x14ac:dyDescent="0.2">
      <c r="B483" s="108" t="s">
        <v>465</v>
      </c>
      <c r="C483" s="99" t="s">
        <v>122</v>
      </c>
      <c r="D483" s="100"/>
      <c r="E483" s="328">
        <v>2</v>
      </c>
      <c r="F483" s="329"/>
      <c r="G483" s="100">
        <v>1.5</v>
      </c>
      <c r="H483" s="37">
        <f t="shared" si="24"/>
        <v>3</v>
      </c>
    </row>
    <row r="484" spans="2:8" x14ac:dyDescent="0.2">
      <c r="B484" s="314" t="s">
        <v>10</v>
      </c>
      <c r="C484" s="315"/>
      <c r="D484" s="315"/>
      <c r="E484" s="315"/>
      <c r="F484" s="315"/>
      <c r="G484" s="316"/>
      <c r="H484" s="85">
        <f>SUM(H482:H483)</f>
        <v>6</v>
      </c>
    </row>
    <row r="485" spans="2:8" s="96" customFormat="1" x14ac:dyDescent="0.2">
      <c r="B485" s="132" t="s">
        <v>326</v>
      </c>
      <c r="C485" s="140" t="str">
        <f>Orçamento!E119</f>
        <v>SOLEIRA EM GRANITO IMPERMEABILIZADA COM CONTRAPISO (1CI:3ARML)</v>
      </c>
      <c r="D485" s="31" t="s">
        <v>24</v>
      </c>
      <c r="E485" s="330" t="s">
        <v>172</v>
      </c>
      <c r="F485" s="331"/>
      <c r="G485" s="222" t="s">
        <v>173</v>
      </c>
      <c r="H485" s="222" t="s">
        <v>150</v>
      </c>
    </row>
    <row r="486" spans="2:8" x14ac:dyDescent="0.2">
      <c r="B486" s="239" t="s">
        <v>466</v>
      </c>
      <c r="C486" s="99" t="s">
        <v>73</v>
      </c>
      <c r="D486" s="218"/>
      <c r="E486" s="363">
        <v>0.95</v>
      </c>
      <c r="F486" s="363"/>
      <c r="G486" s="218">
        <v>0.15</v>
      </c>
      <c r="H486" s="223">
        <f t="shared" ref="H486:H489" si="25">G486*E486</f>
        <v>0.14249999999999999</v>
      </c>
    </row>
    <row r="487" spans="2:8" x14ac:dyDescent="0.2">
      <c r="B487" s="239" t="s">
        <v>716</v>
      </c>
      <c r="C487" s="99" t="s">
        <v>153</v>
      </c>
      <c r="D487" s="218"/>
      <c r="E487" s="363">
        <v>0.95</v>
      </c>
      <c r="F487" s="363"/>
      <c r="G487" s="218">
        <v>0.15</v>
      </c>
      <c r="H487" s="223">
        <f t="shared" si="25"/>
        <v>0.14249999999999999</v>
      </c>
    </row>
    <row r="488" spans="2:8" x14ac:dyDescent="0.2">
      <c r="B488" s="239" t="s">
        <v>721</v>
      </c>
      <c r="C488" s="99" t="s">
        <v>122</v>
      </c>
      <c r="D488" s="218"/>
      <c r="E488" s="363">
        <v>0.95</v>
      </c>
      <c r="F488" s="363"/>
      <c r="G488" s="218">
        <v>0.15</v>
      </c>
      <c r="H488" s="223">
        <f t="shared" si="25"/>
        <v>0.14249999999999999</v>
      </c>
    </row>
    <row r="489" spans="2:8" x14ac:dyDescent="0.2">
      <c r="B489" s="239" t="s">
        <v>722</v>
      </c>
      <c r="C489" s="90" t="s">
        <v>140</v>
      </c>
      <c r="D489" s="218"/>
      <c r="E489" s="363">
        <v>0.95</v>
      </c>
      <c r="F489" s="363"/>
      <c r="G489" s="218">
        <v>0.15</v>
      </c>
      <c r="H489" s="223">
        <f t="shared" si="25"/>
        <v>0.14249999999999999</v>
      </c>
    </row>
    <row r="490" spans="2:8" x14ac:dyDescent="0.2">
      <c r="B490" s="314" t="s">
        <v>10</v>
      </c>
      <c r="C490" s="315"/>
      <c r="D490" s="315"/>
      <c r="E490" s="315"/>
      <c r="F490" s="315"/>
      <c r="G490" s="316"/>
      <c r="H490" s="221">
        <f>SUM(H486:H489)</f>
        <v>0.56999999999999995</v>
      </c>
    </row>
    <row r="491" spans="2:8" s="96" customFormat="1" ht="28" x14ac:dyDescent="0.2">
      <c r="B491" s="132" t="s">
        <v>327</v>
      </c>
      <c r="C491" s="140" t="str">
        <f>Orçamento!E120</f>
        <v>PISO EM CERÂMICA PEI MAIOR OU IGUAL A 4 COM CONTRA PISO (1CI:3ARML) E ARGAMASSA COLANTE</v>
      </c>
      <c r="D491" s="31" t="s">
        <v>24</v>
      </c>
      <c r="E491" s="330" t="s">
        <v>172</v>
      </c>
      <c r="F491" s="331"/>
      <c r="G491" s="119" t="s">
        <v>173</v>
      </c>
      <c r="H491" s="119" t="s">
        <v>150</v>
      </c>
    </row>
    <row r="492" spans="2:8" x14ac:dyDescent="0.2">
      <c r="B492" s="91" t="s">
        <v>467</v>
      </c>
      <c r="C492" s="90" t="s">
        <v>140</v>
      </c>
      <c r="D492" s="12"/>
      <c r="E492" s="328">
        <v>2</v>
      </c>
      <c r="F492" s="329"/>
      <c r="G492" s="37">
        <v>1.74</v>
      </c>
      <c r="H492" s="37">
        <f>G492*E492</f>
        <v>3.48</v>
      </c>
    </row>
    <row r="493" spans="2:8" x14ac:dyDescent="0.2">
      <c r="B493" s="314" t="s">
        <v>10</v>
      </c>
      <c r="C493" s="315"/>
      <c r="D493" s="315"/>
      <c r="E493" s="315"/>
      <c r="F493" s="315"/>
      <c r="G493" s="316"/>
      <c r="H493" s="85">
        <f>SUM(H492)</f>
        <v>3.48</v>
      </c>
    </row>
    <row r="494" spans="2:8" s="96" customFormat="1" x14ac:dyDescent="0.2">
      <c r="B494" s="124" t="s">
        <v>328</v>
      </c>
      <c r="C494" s="140" t="str">
        <f>Orçamento!E121</f>
        <v xml:space="preserve">RODAPÉ DE CERÂMICA COM ARGAMASSA COLANTE </v>
      </c>
      <c r="D494" s="31" t="s">
        <v>61</v>
      </c>
      <c r="E494" s="330" t="s">
        <v>172</v>
      </c>
      <c r="F494" s="404"/>
      <c r="G494" s="331"/>
      <c r="H494" s="119" t="s">
        <v>9</v>
      </c>
    </row>
    <row r="495" spans="2:8" x14ac:dyDescent="0.2">
      <c r="B495" s="239" t="s">
        <v>468</v>
      </c>
      <c r="C495" s="90" t="s">
        <v>140</v>
      </c>
      <c r="D495" s="12"/>
      <c r="E495" s="328" t="s">
        <v>190</v>
      </c>
      <c r="F495" s="392"/>
      <c r="G495" s="329"/>
      <c r="H495" s="37">
        <f>2+1.74+2+1.74</f>
        <v>7.48</v>
      </c>
    </row>
    <row r="496" spans="2:8" x14ac:dyDescent="0.2">
      <c r="B496" s="107"/>
      <c r="C496" s="90" t="s">
        <v>175</v>
      </c>
      <c r="D496" s="12"/>
      <c r="E496" s="328">
        <v>0.8</v>
      </c>
      <c r="F496" s="392"/>
      <c r="G496" s="329"/>
      <c r="H496" s="37">
        <f>E496</f>
        <v>0.8</v>
      </c>
    </row>
    <row r="497" spans="2:8" x14ac:dyDescent="0.2">
      <c r="B497" s="314" t="s">
        <v>10</v>
      </c>
      <c r="C497" s="315"/>
      <c r="D497" s="315"/>
      <c r="E497" s="315"/>
      <c r="F497" s="315"/>
      <c r="G497" s="316"/>
      <c r="H497" s="85">
        <f>H495-H496</f>
        <v>6.6800000000000006</v>
      </c>
    </row>
    <row r="498" spans="2:8" s="96" customFormat="1" ht="28" x14ac:dyDescent="0.2">
      <c r="B498" s="124" t="s">
        <v>329</v>
      </c>
      <c r="C498" s="140" t="str">
        <f>Orçamento!E122</f>
        <v xml:space="preserve">CERÂMICA ANTIDERRAPANTE PEI MAIOR OU IGUAL A 4 COM CONTRA PISO (1CI:3ARML) E ARGAMASSA COLANTE </v>
      </c>
      <c r="D498" s="31" t="s">
        <v>24</v>
      </c>
      <c r="E498" s="330" t="s">
        <v>172</v>
      </c>
      <c r="F498" s="331"/>
      <c r="G498" s="119" t="s">
        <v>173</v>
      </c>
      <c r="H498" s="119" t="s">
        <v>150</v>
      </c>
    </row>
    <row r="499" spans="2:8" ht="15.75" customHeight="1" x14ac:dyDescent="0.2">
      <c r="B499" s="239" t="s">
        <v>469</v>
      </c>
      <c r="C499" s="99" t="s">
        <v>153</v>
      </c>
      <c r="D499" s="100"/>
      <c r="E499" s="328">
        <v>2</v>
      </c>
      <c r="F499" s="329"/>
      <c r="G499" s="100">
        <v>1.5</v>
      </c>
      <c r="H499" s="37">
        <f t="shared" ref="H499:H500" si="26">G499*E499</f>
        <v>3</v>
      </c>
    </row>
    <row r="500" spans="2:8" x14ac:dyDescent="0.2">
      <c r="B500" s="239" t="s">
        <v>717</v>
      </c>
      <c r="C500" s="99" t="s">
        <v>122</v>
      </c>
      <c r="D500" s="100"/>
      <c r="E500" s="328">
        <v>2</v>
      </c>
      <c r="F500" s="329"/>
      <c r="G500" s="100">
        <v>1.5</v>
      </c>
      <c r="H500" s="37">
        <f t="shared" si="26"/>
        <v>3</v>
      </c>
    </row>
    <row r="501" spans="2:8" x14ac:dyDescent="0.2">
      <c r="B501" s="239" t="s">
        <v>718</v>
      </c>
      <c r="C501" s="99" t="s">
        <v>73</v>
      </c>
      <c r="D501" s="218"/>
      <c r="E501" s="328">
        <v>0.95</v>
      </c>
      <c r="F501" s="329"/>
      <c r="G501" s="218">
        <v>1.8</v>
      </c>
      <c r="H501" s="223">
        <f t="shared" ref="H501" si="27">G501*E501</f>
        <v>1.71</v>
      </c>
    </row>
    <row r="502" spans="2:8" x14ac:dyDescent="0.2">
      <c r="B502" s="314" t="s">
        <v>10</v>
      </c>
      <c r="C502" s="315"/>
      <c r="D502" s="315"/>
      <c r="E502" s="315"/>
      <c r="F502" s="315"/>
      <c r="G502" s="316"/>
      <c r="H502" s="85">
        <f>SUM(H499:H501)</f>
        <v>7.71</v>
      </c>
    </row>
    <row r="503" spans="2:8" s="96" customFormat="1" x14ac:dyDescent="0.2">
      <c r="B503" s="92" t="s">
        <v>582</v>
      </c>
      <c r="C503" s="140" t="str">
        <f>Orçamento!E123</f>
        <v>PISO VINÍLICO TRÁFEGO INTENSO COM CONTRAPISO (1CI:3ARML) E=2CM E NATA DE CIMENTO</v>
      </c>
      <c r="D503" s="31" t="s">
        <v>24</v>
      </c>
      <c r="E503" s="354" t="s">
        <v>74</v>
      </c>
      <c r="F503" s="354"/>
      <c r="G503" s="92" t="s">
        <v>75</v>
      </c>
      <c r="H503" s="119" t="s">
        <v>150</v>
      </c>
    </row>
    <row r="504" spans="2:8" x14ac:dyDescent="0.2">
      <c r="B504" s="239" t="s">
        <v>588</v>
      </c>
      <c r="C504" s="99" t="s">
        <v>105</v>
      </c>
      <c r="D504" s="100"/>
      <c r="E504" s="405">
        <v>36</v>
      </c>
      <c r="F504" s="406"/>
      <c r="G504" s="100">
        <v>20.8</v>
      </c>
      <c r="H504" s="100">
        <f>G504*E504</f>
        <v>748.80000000000007</v>
      </c>
    </row>
    <row r="505" spans="2:8" x14ac:dyDescent="0.2">
      <c r="B505" s="314" t="s">
        <v>10</v>
      </c>
      <c r="C505" s="315"/>
      <c r="D505" s="315"/>
      <c r="E505" s="315"/>
      <c r="F505" s="315"/>
      <c r="G505" s="316"/>
      <c r="H505" s="87">
        <f>H504</f>
        <v>748.80000000000007</v>
      </c>
    </row>
    <row r="506" spans="2:8" s="96" customFormat="1" x14ac:dyDescent="0.2">
      <c r="B506" s="92" t="s">
        <v>715</v>
      </c>
      <c r="C506" s="150" t="str">
        <f>Orçamento!E124</f>
        <v xml:space="preserve">PISO EM CONCRETO DESEMPENADO ESPESSURA = 7 CM 1:2,5:3,5 </v>
      </c>
      <c r="D506" s="128" t="s">
        <v>24</v>
      </c>
      <c r="E506" s="326" t="s">
        <v>76</v>
      </c>
      <c r="F506" s="356"/>
      <c r="G506" s="327"/>
      <c r="H506" s="119" t="s">
        <v>9</v>
      </c>
    </row>
    <row r="507" spans="2:8" x14ac:dyDescent="0.2">
      <c r="B507" s="240" t="s">
        <v>719</v>
      </c>
      <c r="C507" s="104" t="s">
        <v>585</v>
      </c>
      <c r="D507" s="98"/>
      <c r="E507" s="323" t="s">
        <v>586</v>
      </c>
      <c r="F507" s="324"/>
      <c r="G507" s="325"/>
      <c r="H507" s="100">
        <f>(2.2+1.2)*1.2/2</f>
        <v>2.04</v>
      </c>
    </row>
    <row r="508" spans="2:8" x14ac:dyDescent="0.2">
      <c r="B508" s="240" t="s">
        <v>720</v>
      </c>
      <c r="C508" s="104" t="s">
        <v>236</v>
      </c>
      <c r="D508" s="98"/>
      <c r="E508" s="323" t="s">
        <v>587</v>
      </c>
      <c r="F508" s="324"/>
      <c r="G508" s="325"/>
      <c r="H508" s="100">
        <f>(1.55+1.7)+(0.66+0.22)*1.05/2</f>
        <v>3.7120000000000002</v>
      </c>
    </row>
    <row r="509" spans="2:8" ht="15" thickBot="1" x14ac:dyDescent="0.25">
      <c r="B509" s="317" t="s">
        <v>10</v>
      </c>
      <c r="C509" s="318"/>
      <c r="D509" s="318"/>
      <c r="E509" s="318"/>
      <c r="F509" s="318"/>
      <c r="G509" s="319"/>
      <c r="H509" s="87">
        <f>H508+H507</f>
        <v>5.7520000000000007</v>
      </c>
    </row>
    <row r="510" spans="2:8" ht="15" customHeight="1" thickBot="1" x14ac:dyDescent="0.25">
      <c r="B510" s="351" t="s">
        <v>499</v>
      </c>
      <c r="C510" s="352"/>
      <c r="D510" s="352"/>
      <c r="E510" s="352"/>
      <c r="F510" s="352"/>
      <c r="G510" s="352"/>
      <c r="H510" s="353"/>
    </row>
    <row r="511" spans="2:8" s="96" customFormat="1" x14ac:dyDescent="0.2">
      <c r="B511" s="85" t="s">
        <v>330</v>
      </c>
      <c r="C511" s="157" t="str">
        <f>Orçamento!E127</f>
        <v xml:space="preserve">CADEADO 50 MM </v>
      </c>
      <c r="D511" s="128" t="s">
        <v>264</v>
      </c>
      <c r="E511" s="354"/>
      <c r="F511" s="354"/>
      <c r="G511" s="354"/>
      <c r="H511" s="354"/>
    </row>
    <row r="512" spans="2:8" x14ac:dyDescent="0.2">
      <c r="B512" s="240" t="s">
        <v>698</v>
      </c>
      <c r="C512" s="99" t="s">
        <v>164</v>
      </c>
      <c r="D512" s="98"/>
      <c r="E512" s="355">
        <v>2</v>
      </c>
      <c r="F512" s="355"/>
      <c r="G512" s="355"/>
      <c r="H512" s="355"/>
    </row>
    <row r="513" spans="2:8" x14ac:dyDescent="0.2">
      <c r="B513" s="240" t="s">
        <v>699</v>
      </c>
      <c r="C513" s="99" t="s">
        <v>193</v>
      </c>
      <c r="D513" s="98"/>
      <c r="E513" s="355">
        <v>2</v>
      </c>
      <c r="F513" s="355"/>
      <c r="G513" s="355"/>
      <c r="H513" s="355"/>
    </row>
    <row r="514" spans="2:8" x14ac:dyDescent="0.2">
      <c r="B514" s="240" t="s">
        <v>700</v>
      </c>
      <c r="C514" s="99" t="s">
        <v>194</v>
      </c>
      <c r="D514" s="98"/>
      <c r="E514" s="355">
        <v>2</v>
      </c>
      <c r="F514" s="355"/>
      <c r="G514" s="355"/>
      <c r="H514" s="355"/>
    </row>
    <row r="515" spans="2:8" x14ac:dyDescent="0.2">
      <c r="B515" s="314" t="s">
        <v>10</v>
      </c>
      <c r="C515" s="315"/>
      <c r="D515" s="315"/>
      <c r="E515" s="315"/>
      <c r="F515" s="315"/>
      <c r="G515" s="316"/>
      <c r="H515" s="131">
        <f>SUM(E512:H514)</f>
        <v>6</v>
      </c>
    </row>
    <row r="516" spans="2:8" s="96" customFormat="1" x14ac:dyDescent="0.2">
      <c r="B516" s="243" t="s">
        <v>694</v>
      </c>
      <c r="C516" s="244" t="str">
        <f>Orçamento!E128</f>
        <v>BARRA PARA PORTADOR DE NECESSIDADES ESPECIAIS - P.N.E. "B6" PADRÃO AGETOP</v>
      </c>
      <c r="D516" s="126" t="s">
        <v>264</v>
      </c>
      <c r="E516" s="408"/>
      <c r="F516" s="408"/>
      <c r="G516" s="408"/>
      <c r="H516" s="354"/>
    </row>
    <row r="517" spans="2:8" x14ac:dyDescent="0.2">
      <c r="B517" s="239" t="s">
        <v>696</v>
      </c>
      <c r="C517" s="99" t="s">
        <v>153</v>
      </c>
      <c r="D517" s="218"/>
      <c r="E517" s="343">
        <v>3</v>
      </c>
      <c r="F517" s="344"/>
      <c r="G517" s="344"/>
      <c r="H517" s="345"/>
    </row>
    <row r="518" spans="2:8" x14ac:dyDescent="0.2">
      <c r="B518" s="239" t="s">
        <v>697</v>
      </c>
      <c r="C518" s="99" t="s">
        <v>122</v>
      </c>
      <c r="D518" s="218"/>
      <c r="E518" s="343">
        <v>3</v>
      </c>
      <c r="F518" s="344"/>
      <c r="G518" s="344"/>
      <c r="H518" s="345"/>
    </row>
    <row r="519" spans="2:8" ht="15" thickBot="1" x14ac:dyDescent="0.25">
      <c r="B519" s="317" t="s">
        <v>10</v>
      </c>
      <c r="C519" s="318"/>
      <c r="D519" s="318"/>
      <c r="E519" s="318"/>
      <c r="F519" s="318"/>
      <c r="G519" s="319"/>
      <c r="H519" s="131">
        <f>SUM(E517:F518)</f>
        <v>6</v>
      </c>
    </row>
    <row r="520" spans="2:8" ht="15" customHeight="1" thickBot="1" x14ac:dyDescent="0.25">
      <c r="B520" s="281" t="s">
        <v>25</v>
      </c>
      <c r="C520" s="282"/>
      <c r="D520" s="282"/>
      <c r="E520" s="282"/>
      <c r="F520" s="282"/>
      <c r="G520" s="282"/>
      <c r="H520" s="283"/>
    </row>
    <row r="521" spans="2:8" s="96" customFormat="1" x14ac:dyDescent="0.2">
      <c r="B521" s="152" t="s">
        <v>331</v>
      </c>
      <c r="C521" s="153" t="str">
        <f>Orçamento!E131</f>
        <v xml:space="preserve">LIMPEZA DE ESTRUT.METAL.S/ANDAIME </v>
      </c>
      <c r="D521" s="154" t="s">
        <v>24</v>
      </c>
      <c r="E521" s="361" t="s">
        <v>76</v>
      </c>
      <c r="F521" s="362"/>
      <c r="G521" s="155" t="s">
        <v>149</v>
      </c>
      <c r="H521" s="92" t="s">
        <v>150</v>
      </c>
    </row>
    <row r="522" spans="2:8" x14ac:dyDescent="0.2">
      <c r="B522" s="91" t="s">
        <v>521</v>
      </c>
      <c r="C522" s="27" t="s">
        <v>471</v>
      </c>
      <c r="D522" s="12"/>
      <c r="E522" s="360">
        <f>(((35.71*0.15)*2)+((35.71*0.03)*4))+(((33.67*0.15)*2)+((33.67*0.03)*4))+((((0.95*0.03)*4)+((0.95*0.15)*2))*48)+((((0.6*0.03)*4)+((0.6*0.15)*2))*47)</f>
        <v>60.135600000000004</v>
      </c>
      <c r="F522" s="360"/>
      <c r="G522" s="100">
        <v>7</v>
      </c>
      <c r="H522" s="100">
        <f>((E522*G522)*0.1)+E522*G522</f>
        <v>463.04412000000002</v>
      </c>
    </row>
    <row r="523" spans="2:8" x14ac:dyDescent="0.2">
      <c r="B523" s="91" t="s">
        <v>522</v>
      </c>
      <c r="C523" s="27" t="s">
        <v>471</v>
      </c>
      <c r="D523" s="12"/>
      <c r="E523" s="360">
        <f>((36.6*0.03)*4)+((36.6*0.15)*2)</f>
        <v>15.372</v>
      </c>
      <c r="F523" s="360"/>
      <c r="G523" s="100">
        <v>20</v>
      </c>
      <c r="H523" s="100">
        <f>((E523*G523)*0.1)+E523*G523</f>
        <v>338.18399999999997</v>
      </c>
    </row>
    <row r="524" spans="2:8" x14ac:dyDescent="0.2">
      <c r="B524" s="314" t="s">
        <v>10</v>
      </c>
      <c r="C524" s="315"/>
      <c r="D524" s="315"/>
      <c r="E524" s="315"/>
      <c r="F524" s="315"/>
      <c r="G524" s="316"/>
      <c r="H524" s="85">
        <f>H523+H522</f>
        <v>801.22811999999999</v>
      </c>
    </row>
    <row r="525" spans="2:8" s="96" customFormat="1" x14ac:dyDescent="0.2">
      <c r="B525" s="132" t="s">
        <v>332</v>
      </c>
      <c r="C525" s="120" t="str">
        <f>Orçamento!E132</f>
        <v xml:space="preserve">REMOCAO DE PINTURA ANTIGA A LATEX </v>
      </c>
      <c r="D525" s="31" t="s">
        <v>8</v>
      </c>
      <c r="E525" s="326" t="s">
        <v>74</v>
      </c>
      <c r="F525" s="327"/>
      <c r="G525" s="92" t="s">
        <v>200</v>
      </c>
      <c r="H525" s="92" t="s">
        <v>150</v>
      </c>
    </row>
    <row r="526" spans="2:8" x14ac:dyDescent="0.2">
      <c r="B526" s="91" t="s">
        <v>523</v>
      </c>
      <c r="C526" s="27" t="s">
        <v>80</v>
      </c>
      <c r="D526" s="12"/>
      <c r="E526" s="323"/>
      <c r="F526" s="325"/>
      <c r="G526" s="100"/>
      <c r="H526" s="100"/>
    </row>
    <row r="527" spans="2:8" x14ac:dyDescent="0.2">
      <c r="B527" s="29"/>
      <c r="C527" s="27" t="s">
        <v>202</v>
      </c>
      <c r="D527" s="12"/>
      <c r="E527" s="323">
        <f>5.05+3.65+5.05+3.65</f>
        <v>17.399999999999999</v>
      </c>
      <c r="F527" s="325"/>
      <c r="G527" s="100">
        <v>1.4</v>
      </c>
      <c r="H527" s="100">
        <f>E527*G527</f>
        <v>24.359999999999996</v>
      </c>
    </row>
    <row r="528" spans="2:8" x14ac:dyDescent="0.2">
      <c r="B528" s="29"/>
      <c r="C528" s="27" t="s">
        <v>199</v>
      </c>
      <c r="D528" s="12"/>
      <c r="E528" s="323">
        <v>3.65</v>
      </c>
      <c r="F528" s="325"/>
      <c r="G528" s="100">
        <v>5.05</v>
      </c>
      <c r="H528" s="100">
        <f t="shared" ref="H528:H529" si="28">E528*G528</f>
        <v>18.432499999999997</v>
      </c>
    </row>
    <row r="529" spans="2:8" x14ac:dyDescent="0.2">
      <c r="B529" s="29"/>
      <c r="C529" s="27" t="s">
        <v>175</v>
      </c>
      <c r="D529" s="12"/>
      <c r="E529" s="323">
        <v>0.8</v>
      </c>
      <c r="F529" s="325"/>
      <c r="G529" s="100">
        <v>0.7</v>
      </c>
      <c r="H529" s="100">
        <f t="shared" si="28"/>
        <v>0.55999999999999994</v>
      </c>
    </row>
    <row r="530" spans="2:8" x14ac:dyDescent="0.2">
      <c r="B530" s="29"/>
      <c r="C530" s="27" t="s">
        <v>201</v>
      </c>
      <c r="D530" s="12"/>
      <c r="E530" s="323">
        <v>1</v>
      </c>
      <c r="F530" s="325"/>
      <c r="G530" s="100">
        <v>0.5</v>
      </c>
      <c r="H530" s="100">
        <f>E530*G530</f>
        <v>0.5</v>
      </c>
    </row>
    <row r="531" spans="2:8" x14ac:dyDescent="0.2">
      <c r="B531" s="314" t="s">
        <v>145</v>
      </c>
      <c r="C531" s="315"/>
      <c r="D531" s="315"/>
      <c r="E531" s="315"/>
      <c r="F531" s="315"/>
      <c r="G531" s="316"/>
      <c r="H531" s="92">
        <f>H527+H528-H529-H530</f>
        <v>41.732499999999987</v>
      </c>
    </row>
    <row r="532" spans="2:8" x14ac:dyDescent="0.2">
      <c r="B532" s="91" t="s">
        <v>524</v>
      </c>
      <c r="C532" s="27" t="s">
        <v>166</v>
      </c>
      <c r="D532" s="12"/>
      <c r="E532" s="323"/>
      <c r="F532" s="325"/>
      <c r="G532" s="100"/>
      <c r="H532" s="100"/>
    </row>
    <row r="533" spans="2:8" x14ac:dyDescent="0.2">
      <c r="B533" s="29"/>
      <c r="C533" s="27" t="s">
        <v>203</v>
      </c>
      <c r="D533" s="12"/>
      <c r="E533" s="323">
        <f>3.7+2.35+3.7+2.35</f>
        <v>12.1</v>
      </c>
      <c r="F533" s="325"/>
      <c r="G533" s="100">
        <v>1.4</v>
      </c>
      <c r="H533" s="100">
        <f>E533*G533</f>
        <v>16.939999999999998</v>
      </c>
    </row>
    <row r="534" spans="2:8" x14ac:dyDescent="0.2">
      <c r="B534" s="29"/>
      <c r="C534" s="27" t="s">
        <v>199</v>
      </c>
      <c r="D534" s="12"/>
      <c r="E534" s="323">
        <v>3.7</v>
      </c>
      <c r="F534" s="325"/>
      <c r="G534" s="100">
        <v>2.35</v>
      </c>
      <c r="H534" s="100">
        <f t="shared" ref="H534:H535" si="29">E534*G534</f>
        <v>8.6950000000000003</v>
      </c>
    </row>
    <row r="535" spans="2:8" x14ac:dyDescent="0.2">
      <c r="B535" s="29"/>
      <c r="C535" s="27" t="s">
        <v>175</v>
      </c>
      <c r="D535" s="12"/>
      <c r="E535" s="323">
        <v>0.8</v>
      </c>
      <c r="F535" s="325"/>
      <c r="G535" s="100">
        <v>0.7</v>
      </c>
      <c r="H535" s="100">
        <f t="shared" si="29"/>
        <v>0.55999999999999994</v>
      </c>
    </row>
    <row r="536" spans="2:8" x14ac:dyDescent="0.2">
      <c r="B536" s="314" t="s">
        <v>145</v>
      </c>
      <c r="C536" s="315"/>
      <c r="D536" s="315"/>
      <c r="E536" s="315"/>
      <c r="F536" s="315"/>
      <c r="G536" s="316"/>
      <c r="H536" s="92">
        <f>H533+H534-H535</f>
        <v>25.074999999999999</v>
      </c>
    </row>
    <row r="537" spans="2:8" x14ac:dyDescent="0.2">
      <c r="B537" s="314" t="s">
        <v>10</v>
      </c>
      <c r="C537" s="315"/>
      <c r="D537" s="315"/>
      <c r="E537" s="315"/>
      <c r="F537" s="315"/>
      <c r="G537" s="316"/>
      <c r="H537" s="85">
        <f>H536+H531</f>
        <v>66.80749999999999</v>
      </c>
    </row>
    <row r="538" spans="2:8" s="96" customFormat="1" x14ac:dyDescent="0.2">
      <c r="B538" s="124" t="s">
        <v>490</v>
      </c>
      <c r="C538" s="120" t="str">
        <f>Orçamento!E133</f>
        <v xml:space="preserve">PINTURA LATEX ACRILICO 2 DEMAOS </v>
      </c>
      <c r="D538" s="31" t="s">
        <v>24</v>
      </c>
      <c r="E538" s="326"/>
      <c r="F538" s="356"/>
      <c r="G538" s="356"/>
      <c r="H538" s="327"/>
    </row>
    <row r="539" spans="2:8" x14ac:dyDescent="0.2">
      <c r="B539" s="91" t="s">
        <v>525</v>
      </c>
      <c r="C539" s="27" t="s">
        <v>80</v>
      </c>
      <c r="D539" s="12"/>
      <c r="E539" s="323"/>
      <c r="F539" s="325"/>
      <c r="G539" s="100"/>
      <c r="H539" s="100"/>
    </row>
    <row r="540" spans="2:8" x14ac:dyDescent="0.2">
      <c r="B540" s="29"/>
      <c r="C540" s="27" t="s">
        <v>202</v>
      </c>
      <c r="D540" s="12"/>
      <c r="E540" s="323">
        <f>5.05+3.65+5.05+3.65</f>
        <v>17.399999999999999</v>
      </c>
      <c r="F540" s="325"/>
      <c r="G540" s="100">
        <v>1.4</v>
      </c>
      <c r="H540" s="100">
        <f>E540*G540</f>
        <v>24.359999999999996</v>
      </c>
    </row>
    <row r="541" spans="2:8" x14ac:dyDescent="0.2">
      <c r="B541" s="29"/>
      <c r="C541" s="27" t="s">
        <v>199</v>
      </c>
      <c r="D541" s="12"/>
      <c r="E541" s="323">
        <v>3.65</v>
      </c>
      <c r="F541" s="325"/>
      <c r="G541" s="100">
        <v>5.05</v>
      </c>
      <c r="H541" s="100">
        <f t="shared" ref="H541:H542" si="30">E541*G541</f>
        <v>18.432499999999997</v>
      </c>
    </row>
    <row r="542" spans="2:8" x14ac:dyDescent="0.2">
      <c r="B542" s="29"/>
      <c r="C542" s="27" t="s">
        <v>175</v>
      </c>
      <c r="D542" s="12"/>
      <c r="E542" s="323">
        <v>0.8</v>
      </c>
      <c r="F542" s="325"/>
      <c r="G542" s="100">
        <v>0.7</v>
      </c>
      <c r="H542" s="100">
        <f t="shared" si="30"/>
        <v>0.55999999999999994</v>
      </c>
    </row>
    <row r="543" spans="2:8" x14ac:dyDescent="0.2">
      <c r="B543" s="29"/>
      <c r="C543" s="27" t="s">
        <v>201</v>
      </c>
      <c r="D543" s="12"/>
      <c r="E543" s="323">
        <v>1</v>
      </c>
      <c r="F543" s="325"/>
      <c r="G543" s="100">
        <v>0.5</v>
      </c>
      <c r="H543" s="100">
        <f>E543*G543</f>
        <v>0.5</v>
      </c>
    </row>
    <row r="544" spans="2:8" x14ac:dyDescent="0.2">
      <c r="B544" s="314" t="s">
        <v>145</v>
      </c>
      <c r="C544" s="315"/>
      <c r="D544" s="315"/>
      <c r="E544" s="315"/>
      <c r="F544" s="315"/>
      <c r="G544" s="316"/>
      <c r="H544" s="92">
        <f>H540+H541-H542-H543</f>
        <v>41.732499999999987</v>
      </c>
    </row>
    <row r="545" spans="2:8" x14ac:dyDescent="0.2">
      <c r="B545" s="91" t="s">
        <v>526</v>
      </c>
      <c r="C545" s="27" t="s">
        <v>166</v>
      </c>
      <c r="D545" s="12"/>
      <c r="E545" s="323"/>
      <c r="F545" s="325"/>
      <c r="G545" s="100"/>
      <c r="H545" s="100"/>
    </row>
    <row r="546" spans="2:8" x14ac:dyDescent="0.2">
      <c r="B546" s="29"/>
      <c r="C546" s="27" t="s">
        <v>203</v>
      </c>
      <c r="D546" s="12"/>
      <c r="E546" s="323">
        <f>3.7+2.35+3.7+2.35</f>
        <v>12.1</v>
      </c>
      <c r="F546" s="325"/>
      <c r="G546" s="100">
        <v>1.4</v>
      </c>
      <c r="H546" s="100">
        <f>E546*G546</f>
        <v>16.939999999999998</v>
      </c>
    </row>
    <row r="547" spans="2:8" x14ac:dyDescent="0.2">
      <c r="B547" s="29"/>
      <c r="C547" s="27" t="s">
        <v>199</v>
      </c>
      <c r="D547" s="12"/>
      <c r="E547" s="323">
        <v>3.7</v>
      </c>
      <c r="F547" s="325"/>
      <c r="G547" s="100">
        <v>2.35</v>
      </c>
      <c r="H547" s="100">
        <f t="shared" ref="H547:H548" si="31">E547*G547</f>
        <v>8.6950000000000003</v>
      </c>
    </row>
    <row r="548" spans="2:8" x14ac:dyDescent="0.2">
      <c r="B548" s="29"/>
      <c r="C548" s="27" t="s">
        <v>175</v>
      </c>
      <c r="D548" s="12"/>
      <c r="E548" s="323">
        <v>0.8</v>
      </c>
      <c r="F548" s="325"/>
      <c r="G548" s="100">
        <v>0.7</v>
      </c>
      <c r="H548" s="100">
        <f t="shared" si="31"/>
        <v>0.55999999999999994</v>
      </c>
    </row>
    <row r="549" spans="2:8" x14ac:dyDescent="0.2">
      <c r="B549" s="29"/>
      <c r="C549" s="27" t="s">
        <v>201</v>
      </c>
      <c r="D549" s="12"/>
      <c r="E549" s="323">
        <v>1</v>
      </c>
      <c r="F549" s="325"/>
      <c r="G549" s="100">
        <v>0.5</v>
      </c>
      <c r="H549" s="100">
        <f>E549*G549</f>
        <v>0.5</v>
      </c>
    </row>
    <row r="550" spans="2:8" x14ac:dyDescent="0.2">
      <c r="B550" s="314" t="s">
        <v>145</v>
      </c>
      <c r="C550" s="315"/>
      <c r="D550" s="315"/>
      <c r="E550" s="315"/>
      <c r="F550" s="315"/>
      <c r="G550" s="316"/>
      <c r="H550" s="92">
        <f>H546+H547-H548-H549</f>
        <v>24.574999999999999</v>
      </c>
    </row>
    <row r="551" spans="2:8" x14ac:dyDescent="0.2">
      <c r="B551" s="91" t="s">
        <v>527</v>
      </c>
      <c r="C551" s="90" t="s">
        <v>159</v>
      </c>
      <c r="D551" s="100"/>
      <c r="E551" s="323"/>
      <c r="F551" s="325"/>
      <c r="G551" s="100"/>
      <c r="H551" s="100"/>
    </row>
    <row r="552" spans="2:8" x14ac:dyDescent="0.2">
      <c r="B552" s="107"/>
      <c r="C552" s="90" t="s">
        <v>174</v>
      </c>
      <c r="D552" s="100"/>
      <c r="E552" s="323">
        <f>1.4+18.57+1.4</f>
        <v>21.369999999999997</v>
      </c>
      <c r="F552" s="325"/>
      <c r="G552" s="100">
        <v>3</v>
      </c>
      <c r="H552" s="100">
        <f>G552*E552</f>
        <v>64.109999999999985</v>
      </c>
    </row>
    <row r="553" spans="2:8" x14ac:dyDescent="0.2">
      <c r="B553" s="107"/>
      <c r="C553" s="90" t="s">
        <v>175</v>
      </c>
      <c r="D553" s="100"/>
      <c r="E553" s="323">
        <v>0.8</v>
      </c>
      <c r="F553" s="325"/>
      <c r="G553" s="100">
        <v>2.1</v>
      </c>
      <c r="H553" s="100">
        <f t="shared" ref="H553" si="32">G553*E553</f>
        <v>1.6800000000000002</v>
      </c>
    </row>
    <row r="554" spans="2:8" x14ac:dyDescent="0.2">
      <c r="B554" s="314" t="s">
        <v>145</v>
      </c>
      <c r="C554" s="315"/>
      <c r="D554" s="315"/>
      <c r="E554" s="315"/>
      <c r="F554" s="315"/>
      <c r="G554" s="316"/>
      <c r="H554" s="92">
        <f>H552-H553</f>
        <v>62.429999999999986</v>
      </c>
    </row>
    <row r="555" spans="2:8" x14ac:dyDescent="0.2">
      <c r="B555" s="91" t="s">
        <v>528</v>
      </c>
      <c r="C555" s="90" t="s">
        <v>140</v>
      </c>
      <c r="D555" s="100"/>
      <c r="E555" s="323"/>
      <c r="F555" s="325"/>
      <c r="G555" s="100"/>
      <c r="H555" s="100"/>
    </row>
    <row r="556" spans="2:8" x14ac:dyDescent="0.2">
      <c r="B556" s="107"/>
      <c r="C556" s="90" t="s">
        <v>177</v>
      </c>
      <c r="D556" s="100"/>
      <c r="E556" s="323">
        <f>2+1.74</f>
        <v>3.74</v>
      </c>
      <c r="F556" s="325"/>
      <c r="G556" s="100">
        <v>3.5</v>
      </c>
      <c r="H556" s="100">
        <f>G556*E556</f>
        <v>13.09</v>
      </c>
    </row>
    <row r="557" spans="2:8" x14ac:dyDescent="0.2">
      <c r="B557" s="107"/>
      <c r="C557" s="90" t="s">
        <v>175</v>
      </c>
      <c r="D557" s="100"/>
      <c r="E557" s="323">
        <v>0.8</v>
      </c>
      <c r="F557" s="325"/>
      <c r="G557" s="100">
        <v>2.1</v>
      </c>
      <c r="H557" s="100">
        <f t="shared" ref="H557:H558" si="33">G557*E557</f>
        <v>1.6800000000000002</v>
      </c>
    </row>
    <row r="558" spans="2:8" x14ac:dyDescent="0.2">
      <c r="B558" s="107"/>
      <c r="C558" s="90" t="s">
        <v>176</v>
      </c>
      <c r="D558" s="100"/>
      <c r="E558" s="323">
        <v>0.8</v>
      </c>
      <c r="F558" s="325"/>
      <c r="G558" s="100">
        <v>0.5</v>
      </c>
      <c r="H558" s="100">
        <f t="shared" si="33"/>
        <v>0.4</v>
      </c>
    </row>
    <row r="559" spans="2:8" x14ac:dyDescent="0.2">
      <c r="B559" s="314" t="s">
        <v>145</v>
      </c>
      <c r="C559" s="315"/>
      <c r="D559" s="315"/>
      <c r="E559" s="315"/>
      <c r="F559" s="315"/>
      <c r="G559" s="316"/>
      <c r="H559" s="92">
        <f>H556-H557-H558</f>
        <v>11.01</v>
      </c>
    </row>
    <row r="560" spans="2:8" x14ac:dyDescent="0.2">
      <c r="B560" s="91" t="s">
        <v>529</v>
      </c>
      <c r="C560" s="104" t="s">
        <v>72</v>
      </c>
      <c r="D560" s="100"/>
      <c r="E560" s="323"/>
      <c r="F560" s="325"/>
      <c r="G560" s="100"/>
      <c r="H560" s="100"/>
    </row>
    <row r="561" spans="2:8" x14ac:dyDescent="0.2">
      <c r="B561" s="92"/>
      <c r="C561" s="104" t="s">
        <v>204</v>
      </c>
      <c r="D561" s="100"/>
      <c r="E561" s="323">
        <f>1.4+0.15+1.4+3.2+1.7+3.2</f>
        <v>11.05</v>
      </c>
      <c r="F561" s="325"/>
      <c r="G561" s="100">
        <v>1.4</v>
      </c>
      <c r="H561" s="100">
        <f>G561*E561</f>
        <v>15.47</v>
      </c>
    </row>
    <row r="562" spans="2:8" x14ac:dyDescent="0.2">
      <c r="B562" s="29"/>
      <c r="C562" s="27" t="s">
        <v>175</v>
      </c>
      <c r="D562" s="12"/>
      <c r="E562" s="323">
        <v>0.8</v>
      </c>
      <c r="F562" s="325"/>
      <c r="G562" s="100">
        <v>0.7</v>
      </c>
      <c r="H562" s="100">
        <f t="shared" ref="H562:H564" si="34">G562*E562</f>
        <v>0.55999999999999994</v>
      </c>
    </row>
    <row r="563" spans="2:8" x14ac:dyDescent="0.2">
      <c r="B563" s="92"/>
      <c r="C563" s="27" t="s">
        <v>201</v>
      </c>
      <c r="D563" s="100"/>
      <c r="E563" s="323">
        <v>0.6</v>
      </c>
      <c r="F563" s="325"/>
      <c r="G563" s="100">
        <v>0.6</v>
      </c>
      <c r="H563" s="100">
        <f t="shared" si="34"/>
        <v>0.36</v>
      </c>
    </row>
    <row r="564" spans="2:8" x14ac:dyDescent="0.2">
      <c r="B564" s="92"/>
      <c r="C564" s="27" t="s">
        <v>201</v>
      </c>
      <c r="D564" s="100"/>
      <c r="E564" s="323">
        <v>0.6</v>
      </c>
      <c r="F564" s="325"/>
      <c r="G564" s="100">
        <v>0.6</v>
      </c>
      <c r="H564" s="100">
        <f t="shared" si="34"/>
        <v>0.36</v>
      </c>
    </row>
    <row r="565" spans="2:8" x14ac:dyDescent="0.2">
      <c r="B565" s="314" t="s">
        <v>145</v>
      </c>
      <c r="C565" s="315"/>
      <c r="D565" s="315"/>
      <c r="E565" s="315"/>
      <c r="F565" s="315"/>
      <c r="G565" s="316"/>
      <c r="H565" s="92">
        <f>H561-H562-H563-H564</f>
        <v>14.190000000000001</v>
      </c>
    </row>
    <row r="566" spans="2:8" x14ac:dyDescent="0.2">
      <c r="B566" s="91" t="s">
        <v>530</v>
      </c>
      <c r="C566" s="104" t="s">
        <v>205</v>
      </c>
      <c r="D566" s="100"/>
      <c r="E566" s="323"/>
      <c r="F566" s="325"/>
      <c r="G566" s="100"/>
      <c r="H566" s="100"/>
    </row>
    <row r="567" spans="2:8" x14ac:dyDescent="0.2">
      <c r="B567" s="92"/>
      <c r="C567" s="104" t="s">
        <v>204</v>
      </c>
      <c r="D567" s="100"/>
      <c r="E567" s="323">
        <f>1.4+0.15+1.4+3.2+1.7+3.2</f>
        <v>11.05</v>
      </c>
      <c r="F567" s="325"/>
      <c r="G567" s="100">
        <v>1.4</v>
      </c>
      <c r="H567" s="100">
        <f>G567*E567</f>
        <v>15.47</v>
      </c>
    </row>
    <row r="568" spans="2:8" x14ac:dyDescent="0.2">
      <c r="B568" s="29"/>
      <c r="C568" s="27" t="s">
        <v>175</v>
      </c>
      <c r="D568" s="12"/>
      <c r="E568" s="323">
        <v>0.8</v>
      </c>
      <c r="F568" s="325"/>
      <c r="G568" s="100">
        <v>0.7</v>
      </c>
      <c r="H568" s="100">
        <f t="shared" ref="H568:H570" si="35">G568*E568</f>
        <v>0.55999999999999994</v>
      </c>
    </row>
    <row r="569" spans="2:8" x14ac:dyDescent="0.2">
      <c r="B569" s="92"/>
      <c r="C569" s="27" t="s">
        <v>201</v>
      </c>
      <c r="D569" s="100"/>
      <c r="E569" s="323">
        <v>0.6</v>
      </c>
      <c r="F569" s="325"/>
      <c r="G569" s="100">
        <v>0.6</v>
      </c>
      <c r="H569" s="100">
        <f t="shared" si="35"/>
        <v>0.36</v>
      </c>
    </row>
    <row r="570" spans="2:8" x14ac:dyDescent="0.2">
      <c r="B570" s="92"/>
      <c r="C570" s="27" t="s">
        <v>201</v>
      </c>
      <c r="D570" s="100"/>
      <c r="E570" s="323">
        <v>0.6</v>
      </c>
      <c r="F570" s="325"/>
      <c r="G570" s="100">
        <v>0.6</v>
      </c>
      <c r="H570" s="100">
        <f t="shared" si="35"/>
        <v>0.36</v>
      </c>
    </row>
    <row r="571" spans="2:8" x14ac:dyDescent="0.2">
      <c r="B571" s="314" t="s">
        <v>145</v>
      </c>
      <c r="C571" s="315"/>
      <c r="D571" s="315"/>
      <c r="E571" s="315"/>
      <c r="F571" s="315"/>
      <c r="G571" s="316"/>
      <c r="H571" s="92">
        <f>H567-H568-H569-H570</f>
        <v>14.190000000000001</v>
      </c>
    </row>
    <row r="572" spans="2:8" x14ac:dyDescent="0.2">
      <c r="B572" s="91" t="s">
        <v>531</v>
      </c>
      <c r="C572" s="104" t="s">
        <v>92</v>
      </c>
      <c r="D572" s="100"/>
      <c r="E572" s="323"/>
      <c r="F572" s="325"/>
      <c r="G572" s="100"/>
      <c r="H572" s="100"/>
    </row>
    <row r="573" spans="2:8" ht="28" x14ac:dyDescent="0.2">
      <c r="B573" s="92"/>
      <c r="C573" s="106" t="s">
        <v>213</v>
      </c>
      <c r="D573" s="100"/>
      <c r="E573" s="323">
        <f>2.35+3.7+2.35+3.7+0.1+0.1+1.15+0.35+0.15+0.15+1.15+0.15+0.25+1.15+1.3</f>
        <v>18.100000000000001</v>
      </c>
      <c r="F573" s="325"/>
      <c r="G573" s="100">
        <v>1.4</v>
      </c>
      <c r="H573" s="100">
        <f>G573*E573</f>
        <v>25.34</v>
      </c>
    </row>
    <row r="574" spans="2:8" x14ac:dyDescent="0.2">
      <c r="B574" s="29"/>
      <c r="C574" s="27" t="s">
        <v>175</v>
      </c>
      <c r="D574" s="12"/>
      <c r="E574" s="323">
        <v>0.8</v>
      </c>
      <c r="F574" s="325"/>
      <c r="G574" s="100">
        <v>0.7</v>
      </c>
      <c r="H574" s="100">
        <f t="shared" ref="H574:H576" si="36">G574*E574</f>
        <v>0.55999999999999994</v>
      </c>
    </row>
    <row r="575" spans="2:8" x14ac:dyDescent="0.2">
      <c r="B575" s="92"/>
      <c r="C575" s="27" t="s">
        <v>201</v>
      </c>
      <c r="D575" s="100"/>
      <c r="E575" s="323">
        <v>0.6</v>
      </c>
      <c r="F575" s="325"/>
      <c r="G575" s="100">
        <v>0.6</v>
      </c>
      <c r="H575" s="100">
        <f t="shared" si="36"/>
        <v>0.36</v>
      </c>
    </row>
    <row r="576" spans="2:8" x14ac:dyDescent="0.2">
      <c r="B576" s="92"/>
      <c r="C576" s="27" t="s">
        <v>199</v>
      </c>
      <c r="D576" s="100"/>
      <c r="E576" s="323">
        <v>2.35</v>
      </c>
      <c r="F576" s="325"/>
      <c r="G576" s="100">
        <v>3.7</v>
      </c>
      <c r="H576" s="100">
        <f t="shared" si="36"/>
        <v>8.6950000000000003</v>
      </c>
    </row>
    <row r="577" spans="2:8" x14ac:dyDescent="0.2">
      <c r="B577" s="314" t="s">
        <v>145</v>
      </c>
      <c r="C577" s="315"/>
      <c r="D577" s="315"/>
      <c r="E577" s="315"/>
      <c r="F577" s="315"/>
      <c r="G577" s="316"/>
      <c r="H577" s="92">
        <f>H573-H574-H575+H576</f>
        <v>33.115000000000002</v>
      </c>
    </row>
    <row r="578" spans="2:8" x14ac:dyDescent="0.2">
      <c r="B578" s="91" t="s">
        <v>532</v>
      </c>
      <c r="C578" s="27" t="s">
        <v>214</v>
      </c>
      <c r="D578" s="12"/>
      <c r="E578" s="323"/>
      <c r="F578" s="325"/>
      <c r="G578" s="100"/>
      <c r="H578" s="100"/>
    </row>
    <row r="579" spans="2:8" ht="28" x14ac:dyDescent="0.2">
      <c r="B579" s="107"/>
      <c r="C579" s="27" t="s">
        <v>215</v>
      </c>
      <c r="D579" s="12"/>
      <c r="E579" s="323">
        <f>1+5+3.85+25.8+3.8+5.2+1.05+23.06+2.15+1.89+33.85+25.25</f>
        <v>131.9</v>
      </c>
      <c r="F579" s="325"/>
      <c r="G579" s="100">
        <v>3.5</v>
      </c>
      <c r="H579" s="100">
        <f>G579*E579</f>
        <v>461.65000000000003</v>
      </c>
    </row>
    <row r="580" spans="2:8" x14ac:dyDescent="0.2">
      <c r="B580" s="107"/>
      <c r="C580" s="27" t="s">
        <v>175</v>
      </c>
      <c r="D580" s="12"/>
      <c r="E580" s="323">
        <v>0.8</v>
      </c>
      <c r="F580" s="325"/>
      <c r="G580" s="100">
        <v>2.1</v>
      </c>
      <c r="H580" s="100">
        <f t="shared" ref="H580:H589" si="37">G580*E580</f>
        <v>1.6800000000000002</v>
      </c>
    </row>
    <row r="581" spans="2:8" x14ac:dyDescent="0.2">
      <c r="B581" s="107"/>
      <c r="C581" s="27" t="s">
        <v>175</v>
      </c>
      <c r="D581" s="12"/>
      <c r="E581" s="323">
        <v>0.8</v>
      </c>
      <c r="F581" s="325"/>
      <c r="G581" s="100">
        <v>2.1</v>
      </c>
      <c r="H581" s="100">
        <f t="shared" si="37"/>
        <v>1.6800000000000002</v>
      </c>
    </row>
    <row r="582" spans="2:8" x14ac:dyDescent="0.2">
      <c r="B582" s="107"/>
      <c r="C582" s="27" t="s">
        <v>175</v>
      </c>
      <c r="D582" s="12"/>
      <c r="E582" s="323">
        <v>0.8</v>
      </c>
      <c r="F582" s="325"/>
      <c r="G582" s="100">
        <v>2.1</v>
      </c>
      <c r="H582" s="100">
        <f t="shared" si="37"/>
        <v>1.6800000000000002</v>
      </c>
    </row>
    <row r="583" spans="2:8" x14ac:dyDescent="0.2">
      <c r="B583" s="107"/>
      <c r="C583" s="27" t="s">
        <v>175</v>
      </c>
      <c r="D583" s="12"/>
      <c r="E583" s="323">
        <v>0.8</v>
      </c>
      <c r="F583" s="325"/>
      <c r="G583" s="100">
        <v>2.1</v>
      </c>
      <c r="H583" s="100">
        <f t="shared" si="37"/>
        <v>1.6800000000000002</v>
      </c>
    </row>
    <row r="584" spans="2:8" x14ac:dyDescent="0.2">
      <c r="B584" s="107"/>
      <c r="C584" s="27" t="s">
        <v>175</v>
      </c>
      <c r="D584" s="12"/>
      <c r="E584" s="323">
        <v>0.8</v>
      </c>
      <c r="F584" s="325"/>
      <c r="G584" s="100">
        <v>2.1</v>
      </c>
      <c r="H584" s="100">
        <f t="shared" si="37"/>
        <v>1.6800000000000002</v>
      </c>
    </row>
    <row r="585" spans="2:8" x14ac:dyDescent="0.2">
      <c r="B585" s="107"/>
      <c r="C585" s="27" t="s">
        <v>175</v>
      </c>
      <c r="D585" s="12"/>
      <c r="E585" s="323">
        <v>0.8</v>
      </c>
      <c r="F585" s="325"/>
      <c r="G585" s="100">
        <v>2.1</v>
      </c>
      <c r="H585" s="100">
        <f t="shared" si="37"/>
        <v>1.6800000000000002</v>
      </c>
    </row>
    <row r="586" spans="2:8" x14ac:dyDescent="0.2">
      <c r="B586" s="107"/>
      <c r="C586" s="27" t="s">
        <v>175</v>
      </c>
      <c r="D586" s="12"/>
      <c r="E586" s="323">
        <v>0.8</v>
      </c>
      <c r="F586" s="325"/>
      <c r="G586" s="100">
        <v>2.1</v>
      </c>
      <c r="H586" s="100">
        <f t="shared" si="37"/>
        <v>1.6800000000000002</v>
      </c>
    </row>
    <row r="587" spans="2:8" x14ac:dyDescent="0.2">
      <c r="B587" s="107"/>
      <c r="C587" s="27" t="s">
        <v>175</v>
      </c>
      <c r="D587" s="12"/>
      <c r="E587" s="323">
        <v>0.8</v>
      </c>
      <c r="F587" s="325"/>
      <c r="G587" s="100">
        <v>2.1</v>
      </c>
      <c r="H587" s="100">
        <f t="shared" si="37"/>
        <v>1.6800000000000002</v>
      </c>
    </row>
    <row r="588" spans="2:8" x14ac:dyDescent="0.2">
      <c r="B588" s="107"/>
      <c r="C588" s="27" t="s">
        <v>216</v>
      </c>
      <c r="D588" s="12"/>
      <c r="E588" s="323">
        <v>3.6</v>
      </c>
      <c r="F588" s="325"/>
      <c r="G588" s="100">
        <v>3.5</v>
      </c>
      <c r="H588" s="100">
        <f t="shared" si="37"/>
        <v>12.6</v>
      </c>
    </row>
    <row r="589" spans="2:8" x14ac:dyDescent="0.2">
      <c r="B589" s="107"/>
      <c r="C589" s="27" t="s">
        <v>216</v>
      </c>
      <c r="D589" s="12"/>
      <c r="E589" s="323">
        <v>2</v>
      </c>
      <c r="F589" s="325"/>
      <c r="G589" s="100">
        <v>3.5</v>
      </c>
      <c r="H589" s="100">
        <f t="shared" si="37"/>
        <v>7</v>
      </c>
    </row>
    <row r="590" spans="2:8" x14ac:dyDescent="0.2">
      <c r="B590" s="314" t="s">
        <v>145</v>
      </c>
      <c r="C590" s="315"/>
      <c r="D590" s="315"/>
      <c r="E590" s="315"/>
      <c r="F590" s="315"/>
      <c r="G590" s="316"/>
      <c r="H590" s="92">
        <f>H579-H580-H581-H582-H583-H584-H585-H586-H587-H588-H589</f>
        <v>428.60999999999996</v>
      </c>
    </row>
    <row r="591" spans="2:8" ht="28" x14ac:dyDescent="0.2">
      <c r="B591" s="91" t="s">
        <v>533</v>
      </c>
      <c r="C591" s="27" t="s">
        <v>217</v>
      </c>
      <c r="D591" s="12"/>
      <c r="E591" s="323">
        <f>1.4+10.44+30.55+36.6+5.15+3.35+3.95+3.35+16.46+2.15+3.45+2.15+1.54+0.49</f>
        <v>121.03000000000002</v>
      </c>
      <c r="F591" s="325"/>
      <c r="G591" s="100">
        <v>3.5</v>
      </c>
      <c r="H591" s="100">
        <f>E591*G591</f>
        <v>423.60500000000008</v>
      </c>
    </row>
    <row r="592" spans="2:8" x14ac:dyDescent="0.2">
      <c r="B592" s="107"/>
      <c r="C592" s="27" t="s">
        <v>176</v>
      </c>
      <c r="D592" s="12"/>
      <c r="E592" s="323">
        <v>0.6</v>
      </c>
      <c r="F592" s="325"/>
      <c r="G592" s="100">
        <v>0.6</v>
      </c>
      <c r="H592" s="100">
        <f t="shared" ref="H592:H603" si="38">E592*G592</f>
        <v>0.36</v>
      </c>
    </row>
    <row r="593" spans="2:8" x14ac:dyDescent="0.2">
      <c r="B593" s="107"/>
      <c r="C593" s="27" t="s">
        <v>176</v>
      </c>
      <c r="D593" s="12"/>
      <c r="E593" s="323">
        <v>0.6</v>
      </c>
      <c r="F593" s="325"/>
      <c r="G593" s="100">
        <v>0.6</v>
      </c>
      <c r="H593" s="100">
        <f t="shared" si="38"/>
        <v>0.36</v>
      </c>
    </row>
    <row r="594" spans="2:8" x14ac:dyDescent="0.2">
      <c r="B594" s="107"/>
      <c r="C594" s="27" t="s">
        <v>176</v>
      </c>
      <c r="D594" s="12"/>
      <c r="E594" s="323">
        <v>0.6</v>
      </c>
      <c r="F594" s="325"/>
      <c r="G594" s="100">
        <v>0.6</v>
      </c>
      <c r="H594" s="100">
        <f t="shared" si="38"/>
        <v>0.36</v>
      </c>
    </row>
    <row r="595" spans="2:8" x14ac:dyDescent="0.2">
      <c r="B595" s="107"/>
      <c r="C595" s="27" t="s">
        <v>176</v>
      </c>
      <c r="D595" s="12"/>
      <c r="E595" s="323">
        <v>0.6</v>
      </c>
      <c r="F595" s="325"/>
      <c r="G595" s="100">
        <v>0.6</v>
      </c>
      <c r="H595" s="100">
        <f t="shared" si="38"/>
        <v>0.36</v>
      </c>
    </row>
    <row r="596" spans="2:8" x14ac:dyDescent="0.2">
      <c r="B596" s="107"/>
      <c r="C596" s="27" t="s">
        <v>176</v>
      </c>
      <c r="D596" s="12"/>
      <c r="E596" s="323">
        <v>0.6</v>
      </c>
      <c r="F596" s="325"/>
      <c r="G596" s="100">
        <v>0.6</v>
      </c>
      <c r="H596" s="100">
        <f t="shared" si="38"/>
        <v>0.36</v>
      </c>
    </row>
    <row r="597" spans="2:8" x14ac:dyDescent="0.2">
      <c r="B597" s="107"/>
      <c r="C597" s="27" t="s">
        <v>176</v>
      </c>
      <c r="D597" s="12"/>
      <c r="E597" s="323">
        <v>0.6</v>
      </c>
      <c r="F597" s="325"/>
      <c r="G597" s="100">
        <v>0.6</v>
      </c>
      <c r="H597" s="100">
        <f t="shared" si="38"/>
        <v>0.36</v>
      </c>
    </row>
    <row r="598" spans="2:8" x14ac:dyDescent="0.2">
      <c r="B598" s="107"/>
      <c r="C598" s="27" t="s">
        <v>176</v>
      </c>
      <c r="D598" s="12"/>
      <c r="E598" s="323">
        <v>1</v>
      </c>
      <c r="F598" s="325"/>
      <c r="G598" s="100">
        <v>0.5</v>
      </c>
      <c r="H598" s="100">
        <f t="shared" si="38"/>
        <v>0.5</v>
      </c>
    </row>
    <row r="599" spans="2:8" x14ac:dyDescent="0.2">
      <c r="B599" s="107"/>
      <c r="C599" s="27" t="s">
        <v>176</v>
      </c>
      <c r="D599" s="12"/>
      <c r="E599" s="323">
        <v>1</v>
      </c>
      <c r="F599" s="325"/>
      <c r="G599" s="100">
        <v>0.5</v>
      </c>
      <c r="H599" s="100">
        <f t="shared" si="38"/>
        <v>0.5</v>
      </c>
    </row>
    <row r="600" spans="2:8" x14ac:dyDescent="0.2">
      <c r="B600" s="107"/>
      <c r="C600" s="27" t="s">
        <v>216</v>
      </c>
      <c r="D600" s="12"/>
      <c r="E600" s="323">
        <v>2</v>
      </c>
      <c r="F600" s="325"/>
      <c r="G600" s="100">
        <v>3.5</v>
      </c>
      <c r="H600" s="100">
        <f t="shared" si="38"/>
        <v>7</v>
      </c>
    </row>
    <row r="601" spans="2:8" x14ac:dyDescent="0.2">
      <c r="B601" s="107"/>
      <c r="C601" s="27" t="s">
        <v>216</v>
      </c>
      <c r="D601" s="12"/>
      <c r="E601" s="323">
        <v>0.8</v>
      </c>
      <c r="F601" s="325"/>
      <c r="G601" s="100">
        <v>2.1</v>
      </c>
      <c r="H601" s="100">
        <f t="shared" si="38"/>
        <v>1.6800000000000002</v>
      </c>
    </row>
    <row r="602" spans="2:8" x14ac:dyDescent="0.2">
      <c r="B602" s="107"/>
      <c r="C602" s="27" t="s">
        <v>216</v>
      </c>
      <c r="D602" s="12"/>
      <c r="E602" s="323">
        <v>3.6</v>
      </c>
      <c r="F602" s="325"/>
      <c r="G602" s="100">
        <v>3.5</v>
      </c>
      <c r="H602" s="100">
        <f t="shared" si="38"/>
        <v>12.6</v>
      </c>
    </row>
    <row r="603" spans="2:8" x14ac:dyDescent="0.2">
      <c r="B603" s="107"/>
      <c r="C603" s="27" t="s">
        <v>218</v>
      </c>
      <c r="D603" s="12"/>
      <c r="E603" s="323">
        <v>0.3</v>
      </c>
      <c r="F603" s="325"/>
      <c r="G603" s="100">
        <v>0.3</v>
      </c>
      <c r="H603" s="100">
        <f t="shared" si="38"/>
        <v>0.09</v>
      </c>
    </row>
    <row r="604" spans="2:8" x14ac:dyDescent="0.2">
      <c r="B604" s="314" t="s">
        <v>145</v>
      </c>
      <c r="C604" s="315"/>
      <c r="D604" s="315"/>
      <c r="E604" s="315"/>
      <c r="F604" s="315"/>
      <c r="G604" s="316"/>
      <c r="H604" s="92">
        <f>H591-H592-H593-H594-H595-H596-H597-H599-H598-H600-H601-H602-H603</f>
        <v>399.07499999999999</v>
      </c>
    </row>
    <row r="605" spans="2:8" x14ac:dyDescent="0.2">
      <c r="B605" s="91" t="s">
        <v>534</v>
      </c>
      <c r="C605" s="27" t="s">
        <v>470</v>
      </c>
      <c r="D605" s="12"/>
      <c r="E605" s="323">
        <v>134.75</v>
      </c>
      <c r="F605" s="324"/>
      <c r="G605" s="325"/>
      <c r="H605" s="100">
        <f>E605</f>
        <v>134.75</v>
      </c>
    </row>
    <row r="606" spans="2:8" x14ac:dyDescent="0.2">
      <c r="B606" s="91" t="s">
        <v>535</v>
      </c>
      <c r="C606" s="27" t="s">
        <v>470</v>
      </c>
      <c r="D606" s="12"/>
      <c r="E606" s="323">
        <v>134.75</v>
      </c>
      <c r="F606" s="324"/>
      <c r="G606" s="325"/>
      <c r="H606" s="100">
        <f>E606</f>
        <v>134.75</v>
      </c>
    </row>
    <row r="607" spans="2:8" x14ac:dyDescent="0.2">
      <c r="B607" s="314" t="s">
        <v>145</v>
      </c>
      <c r="C607" s="315"/>
      <c r="D607" s="315"/>
      <c r="E607" s="315"/>
      <c r="F607" s="315"/>
      <c r="G607" s="316"/>
      <c r="H607" s="92">
        <f>H605+H606</f>
        <v>269.5</v>
      </c>
    </row>
    <row r="608" spans="2:8" x14ac:dyDescent="0.2">
      <c r="B608" s="314" t="s">
        <v>10</v>
      </c>
      <c r="C608" s="315"/>
      <c r="D608" s="315"/>
      <c r="E608" s="315"/>
      <c r="F608" s="315"/>
      <c r="G608" s="316"/>
      <c r="H608" s="85">
        <f>H607+H604+H590+H577+H571+H565+H559+H554+H550+H544</f>
        <v>1298.4275000000002</v>
      </c>
    </row>
    <row r="609" spans="2:8" s="96" customFormat="1" x14ac:dyDescent="0.2">
      <c r="B609" s="124" t="s">
        <v>491</v>
      </c>
      <c r="C609" s="120" t="str">
        <f>Orçamento!E134</f>
        <v xml:space="preserve">EMASSAMENTO COM MASSA PVA DUAS DEMAOS </v>
      </c>
      <c r="D609" s="31" t="s">
        <v>24</v>
      </c>
      <c r="E609" s="326" t="s">
        <v>74</v>
      </c>
      <c r="F609" s="327"/>
      <c r="G609" s="92" t="s">
        <v>200</v>
      </c>
      <c r="H609" s="92" t="s">
        <v>150</v>
      </c>
    </row>
    <row r="610" spans="2:8" x14ac:dyDescent="0.2">
      <c r="B610" s="108" t="s">
        <v>536</v>
      </c>
      <c r="C610" s="90" t="s">
        <v>159</v>
      </c>
      <c r="D610" s="100"/>
      <c r="E610" s="323"/>
      <c r="F610" s="325"/>
      <c r="G610" s="100"/>
      <c r="H610" s="100"/>
    </row>
    <row r="611" spans="2:8" x14ac:dyDescent="0.2">
      <c r="B611" s="107"/>
      <c r="C611" s="90" t="s">
        <v>174</v>
      </c>
      <c r="D611" s="100"/>
      <c r="E611" s="323">
        <f>1.4+18.57+1.4</f>
        <v>21.369999999999997</v>
      </c>
      <c r="F611" s="325"/>
      <c r="G611" s="100">
        <v>3</v>
      </c>
      <c r="H611" s="100">
        <f>G611*E611</f>
        <v>64.109999999999985</v>
      </c>
    </row>
    <row r="612" spans="2:8" x14ac:dyDescent="0.2">
      <c r="B612" s="107"/>
      <c r="C612" s="90" t="s">
        <v>175</v>
      </c>
      <c r="D612" s="100"/>
      <c r="E612" s="323">
        <v>0.8</v>
      </c>
      <c r="F612" s="325"/>
      <c r="G612" s="100">
        <v>2.1</v>
      </c>
      <c r="H612" s="100">
        <f t="shared" ref="H612:H614" si="39">G612*E612</f>
        <v>1.6800000000000002</v>
      </c>
    </row>
    <row r="613" spans="2:8" x14ac:dyDescent="0.2">
      <c r="B613" s="107"/>
      <c r="C613" s="90" t="s">
        <v>171</v>
      </c>
      <c r="D613" s="100"/>
      <c r="E613" s="323">
        <v>1.4</v>
      </c>
      <c r="F613" s="325"/>
      <c r="G613" s="100">
        <v>3</v>
      </c>
      <c r="H613" s="100">
        <f t="shared" si="39"/>
        <v>4.1999999999999993</v>
      </c>
    </row>
    <row r="614" spans="2:8" x14ac:dyDescent="0.2">
      <c r="B614" s="107"/>
      <c r="C614" s="90" t="s">
        <v>175</v>
      </c>
      <c r="D614" s="100"/>
      <c r="E614" s="323">
        <v>0.8</v>
      </c>
      <c r="F614" s="325"/>
      <c r="G614" s="100">
        <v>2.1</v>
      </c>
      <c r="H614" s="100">
        <f t="shared" si="39"/>
        <v>1.6800000000000002</v>
      </c>
    </row>
    <row r="615" spans="2:8" x14ac:dyDescent="0.2">
      <c r="B615" s="314" t="s">
        <v>145</v>
      </c>
      <c r="C615" s="315"/>
      <c r="D615" s="315"/>
      <c r="E615" s="315"/>
      <c r="F615" s="315"/>
      <c r="G615" s="316"/>
      <c r="H615" s="92">
        <f>H611+H613-H612-H614</f>
        <v>64.949999999999974</v>
      </c>
    </row>
    <row r="616" spans="2:8" x14ac:dyDescent="0.2">
      <c r="B616" s="108" t="s">
        <v>537</v>
      </c>
      <c r="C616" s="90" t="s">
        <v>140</v>
      </c>
      <c r="D616" s="100"/>
      <c r="E616" s="323"/>
      <c r="F616" s="325"/>
      <c r="G616" s="100"/>
      <c r="H616" s="100"/>
    </row>
    <row r="617" spans="2:8" x14ac:dyDescent="0.2">
      <c r="B617" s="107"/>
      <c r="C617" s="90" t="s">
        <v>177</v>
      </c>
      <c r="D617" s="100"/>
      <c r="E617" s="323">
        <f>2+1.74</f>
        <v>3.74</v>
      </c>
      <c r="F617" s="325"/>
      <c r="G617" s="100">
        <v>3.5</v>
      </c>
      <c r="H617" s="100">
        <f>G617*E617</f>
        <v>13.09</v>
      </c>
    </row>
    <row r="618" spans="2:8" x14ac:dyDescent="0.2">
      <c r="B618" s="107"/>
      <c r="C618" s="90" t="s">
        <v>175</v>
      </c>
      <c r="D618" s="100"/>
      <c r="E618" s="323">
        <v>0.8</v>
      </c>
      <c r="F618" s="325"/>
      <c r="G618" s="100">
        <v>2.1</v>
      </c>
      <c r="H618" s="100">
        <f t="shared" ref="H618:H622" si="40">G618*E618</f>
        <v>1.6800000000000002</v>
      </c>
    </row>
    <row r="619" spans="2:8" x14ac:dyDescent="0.2">
      <c r="B619" s="107"/>
      <c r="C619" s="90" t="s">
        <v>176</v>
      </c>
      <c r="D619" s="100"/>
      <c r="E619" s="323">
        <v>0.8</v>
      </c>
      <c r="F619" s="325"/>
      <c r="G619" s="100">
        <v>0.5</v>
      </c>
      <c r="H619" s="100">
        <f t="shared" si="40"/>
        <v>0.4</v>
      </c>
    </row>
    <row r="620" spans="2:8" x14ac:dyDescent="0.2">
      <c r="B620" s="107"/>
      <c r="C620" s="90" t="s">
        <v>178</v>
      </c>
      <c r="D620" s="100"/>
      <c r="E620" s="323">
        <f>2.15+1.89</f>
        <v>4.04</v>
      </c>
      <c r="F620" s="325"/>
      <c r="G620" s="100">
        <v>3.5</v>
      </c>
      <c r="H620" s="100">
        <f t="shared" si="40"/>
        <v>14.14</v>
      </c>
    </row>
    <row r="621" spans="2:8" x14ac:dyDescent="0.2">
      <c r="B621" s="107"/>
      <c r="C621" s="90" t="s">
        <v>175</v>
      </c>
      <c r="D621" s="100"/>
      <c r="E621" s="323">
        <v>0.8</v>
      </c>
      <c r="F621" s="325"/>
      <c r="G621" s="100">
        <v>2.1</v>
      </c>
      <c r="H621" s="100">
        <f t="shared" si="40"/>
        <v>1.6800000000000002</v>
      </c>
    </row>
    <row r="622" spans="2:8" x14ac:dyDescent="0.2">
      <c r="B622" s="107"/>
      <c r="C622" s="90" t="s">
        <v>176</v>
      </c>
      <c r="D622" s="100"/>
      <c r="E622" s="323">
        <v>0.8</v>
      </c>
      <c r="F622" s="325"/>
      <c r="G622" s="100">
        <v>0.5</v>
      </c>
      <c r="H622" s="100">
        <f t="shared" si="40"/>
        <v>0.4</v>
      </c>
    </row>
    <row r="623" spans="2:8" x14ac:dyDescent="0.2">
      <c r="B623" s="314" t="s">
        <v>145</v>
      </c>
      <c r="C623" s="315"/>
      <c r="D623" s="315"/>
      <c r="E623" s="315"/>
      <c r="F623" s="315"/>
      <c r="G623" s="316"/>
      <c r="H623" s="92">
        <f>H617-H618-H619+H620-H621-H622</f>
        <v>23.07</v>
      </c>
    </row>
    <row r="624" spans="2:8" x14ac:dyDescent="0.2">
      <c r="B624" s="108" t="s">
        <v>538</v>
      </c>
      <c r="C624" s="90" t="s">
        <v>153</v>
      </c>
      <c r="D624" s="100"/>
      <c r="E624" s="323"/>
      <c r="F624" s="325"/>
      <c r="G624" s="100"/>
      <c r="H624" s="100"/>
    </row>
    <row r="625" spans="2:8" x14ac:dyDescent="0.2">
      <c r="B625" s="107"/>
      <c r="C625" s="90" t="s">
        <v>180</v>
      </c>
      <c r="D625" s="100"/>
      <c r="E625" s="323">
        <f>2.15+1.65</f>
        <v>3.8</v>
      </c>
      <c r="F625" s="325"/>
      <c r="G625" s="100">
        <v>3</v>
      </c>
      <c r="H625" s="100">
        <f t="shared" ref="H625:H626" si="41">G625*E625</f>
        <v>11.399999999999999</v>
      </c>
    </row>
    <row r="626" spans="2:8" x14ac:dyDescent="0.2">
      <c r="B626" s="107"/>
      <c r="C626" s="90" t="s">
        <v>176</v>
      </c>
      <c r="D626" s="100"/>
      <c r="E626" s="323">
        <v>0.6</v>
      </c>
      <c r="F626" s="325"/>
      <c r="G626" s="100">
        <v>0.6</v>
      </c>
      <c r="H626" s="100">
        <f t="shared" si="41"/>
        <v>0.36</v>
      </c>
    </row>
    <row r="627" spans="2:8" x14ac:dyDescent="0.2">
      <c r="B627" s="314" t="s">
        <v>145</v>
      </c>
      <c r="C627" s="315"/>
      <c r="D627" s="315"/>
      <c r="E627" s="315"/>
      <c r="F627" s="315"/>
      <c r="G627" s="316"/>
      <c r="H627" s="92">
        <f>H625-H626</f>
        <v>11.04</v>
      </c>
    </row>
    <row r="628" spans="2:8" x14ac:dyDescent="0.2">
      <c r="B628" s="108" t="s">
        <v>539</v>
      </c>
      <c r="C628" s="90" t="s">
        <v>181</v>
      </c>
      <c r="D628" s="100"/>
      <c r="E628" s="323"/>
      <c r="F628" s="325"/>
      <c r="G628" s="100"/>
      <c r="H628" s="100"/>
    </row>
    <row r="629" spans="2:8" x14ac:dyDescent="0.2">
      <c r="B629" s="107"/>
      <c r="C629" s="90" t="s">
        <v>182</v>
      </c>
      <c r="D629" s="100"/>
      <c r="E629" s="323">
        <f>2.15+1.8</f>
        <v>3.95</v>
      </c>
      <c r="F629" s="325"/>
      <c r="G629" s="100">
        <v>3</v>
      </c>
      <c r="H629" s="100">
        <f t="shared" ref="H629:H630" si="42">G629*E629</f>
        <v>11.850000000000001</v>
      </c>
    </row>
    <row r="630" spans="2:8" x14ac:dyDescent="0.2">
      <c r="B630" s="107"/>
      <c r="C630" s="90" t="s">
        <v>176</v>
      </c>
      <c r="D630" s="100"/>
      <c r="E630" s="323">
        <v>0.6</v>
      </c>
      <c r="F630" s="325"/>
      <c r="G630" s="100">
        <v>0.6</v>
      </c>
      <c r="H630" s="100">
        <f t="shared" si="42"/>
        <v>0.36</v>
      </c>
    </row>
    <row r="631" spans="2:8" x14ac:dyDescent="0.2">
      <c r="B631" s="314" t="s">
        <v>145</v>
      </c>
      <c r="C631" s="315"/>
      <c r="D631" s="315"/>
      <c r="E631" s="315"/>
      <c r="F631" s="315"/>
      <c r="G631" s="316"/>
      <c r="H631" s="92">
        <f>H629-H630</f>
        <v>11.490000000000002</v>
      </c>
    </row>
    <row r="632" spans="2:8" x14ac:dyDescent="0.2">
      <c r="B632" s="108" t="s">
        <v>540</v>
      </c>
      <c r="C632" s="104" t="s">
        <v>72</v>
      </c>
      <c r="D632" s="100"/>
      <c r="E632" s="323"/>
      <c r="F632" s="325"/>
      <c r="G632" s="100"/>
      <c r="H632" s="100"/>
    </row>
    <row r="633" spans="2:8" x14ac:dyDescent="0.2">
      <c r="B633" s="92"/>
      <c r="C633" s="104" t="s">
        <v>197</v>
      </c>
      <c r="D633" s="100"/>
      <c r="E633" s="323">
        <f>1.4+0.15+1.4</f>
        <v>2.9499999999999997</v>
      </c>
      <c r="F633" s="325"/>
      <c r="G633" s="100">
        <v>1.4</v>
      </c>
      <c r="H633" s="100">
        <f>G633*E633</f>
        <v>4.129999999999999</v>
      </c>
    </row>
    <row r="634" spans="2:8" ht="15.75" customHeight="1" x14ac:dyDescent="0.2">
      <c r="B634" s="314" t="s">
        <v>145</v>
      </c>
      <c r="C634" s="315"/>
      <c r="D634" s="315"/>
      <c r="E634" s="315"/>
      <c r="F634" s="315"/>
      <c r="G634" s="316"/>
      <c r="H634" s="92">
        <f>H633</f>
        <v>4.129999999999999</v>
      </c>
    </row>
    <row r="635" spans="2:8" x14ac:dyDescent="0.2">
      <c r="B635" s="108" t="s">
        <v>541</v>
      </c>
      <c r="C635" s="104" t="s">
        <v>73</v>
      </c>
      <c r="D635" s="100"/>
      <c r="E635" s="323"/>
      <c r="F635" s="325"/>
      <c r="G635" s="100"/>
      <c r="H635" s="100"/>
    </row>
    <row r="636" spans="2:8" x14ac:dyDescent="0.2">
      <c r="B636" s="92"/>
      <c r="C636" s="104" t="s">
        <v>207</v>
      </c>
      <c r="D636" s="100"/>
      <c r="E636" s="323">
        <v>1.6</v>
      </c>
      <c r="F636" s="325"/>
      <c r="G636" s="100">
        <v>1.4</v>
      </c>
      <c r="H636" s="100">
        <f>G636*E636</f>
        <v>2.2399999999999998</v>
      </c>
    </row>
    <row r="637" spans="2:8" x14ac:dyDescent="0.2">
      <c r="B637" s="92"/>
      <c r="C637" s="104" t="s">
        <v>175</v>
      </c>
      <c r="D637" s="100"/>
      <c r="E637" s="323">
        <v>0.8</v>
      </c>
      <c r="F637" s="325"/>
      <c r="G637" s="100">
        <v>0.7</v>
      </c>
      <c r="H637" s="100">
        <f>G637*E637</f>
        <v>0.55999999999999994</v>
      </c>
    </row>
    <row r="638" spans="2:8" x14ac:dyDescent="0.2">
      <c r="B638" s="314" t="s">
        <v>145</v>
      </c>
      <c r="C638" s="315"/>
      <c r="D638" s="315"/>
      <c r="E638" s="315"/>
      <c r="F638" s="315"/>
      <c r="G638" s="316"/>
      <c r="H638" s="92">
        <f>H636-H637</f>
        <v>1.6799999999999997</v>
      </c>
    </row>
    <row r="639" spans="2:8" x14ac:dyDescent="0.2">
      <c r="B639" s="108" t="s">
        <v>542</v>
      </c>
      <c r="C639" s="27" t="s">
        <v>80</v>
      </c>
      <c r="D639" s="12"/>
      <c r="E639" s="323"/>
      <c r="F639" s="325"/>
      <c r="G639" s="100"/>
      <c r="H639" s="100"/>
    </row>
    <row r="640" spans="2:8" x14ac:dyDescent="0.2">
      <c r="B640" s="29"/>
      <c r="C640" s="27" t="s">
        <v>202</v>
      </c>
      <c r="D640" s="12"/>
      <c r="E640" s="323">
        <f>5.05+3.65+5.05+3.65</f>
        <v>17.399999999999999</v>
      </c>
      <c r="F640" s="325"/>
      <c r="G640" s="100">
        <v>1.4</v>
      </c>
      <c r="H640" s="100">
        <f>E640*G640</f>
        <v>24.359999999999996</v>
      </c>
    </row>
    <row r="641" spans="2:8" x14ac:dyDescent="0.2">
      <c r="B641" s="29"/>
      <c r="C641" s="27" t="s">
        <v>199</v>
      </c>
      <c r="D641" s="12"/>
      <c r="E641" s="323">
        <v>3.65</v>
      </c>
      <c r="F641" s="325"/>
      <c r="G641" s="100">
        <v>5.05</v>
      </c>
      <c r="H641" s="100">
        <f t="shared" ref="H641:H642" si="43">E641*G641</f>
        <v>18.432499999999997</v>
      </c>
    </row>
    <row r="642" spans="2:8" x14ac:dyDescent="0.2">
      <c r="B642" s="29"/>
      <c r="C642" s="27" t="s">
        <v>175</v>
      </c>
      <c r="D642" s="12"/>
      <c r="E642" s="323">
        <v>0.8</v>
      </c>
      <c r="F642" s="325"/>
      <c r="G642" s="100">
        <v>0.7</v>
      </c>
      <c r="H642" s="100">
        <f t="shared" si="43"/>
        <v>0.55999999999999994</v>
      </c>
    </row>
    <row r="643" spans="2:8" x14ac:dyDescent="0.2">
      <c r="B643" s="29"/>
      <c r="C643" s="27" t="s">
        <v>201</v>
      </c>
      <c r="D643" s="12"/>
      <c r="E643" s="323">
        <v>1</v>
      </c>
      <c r="F643" s="325"/>
      <c r="G643" s="100">
        <v>0.5</v>
      </c>
      <c r="H643" s="100">
        <f>E643*G643</f>
        <v>0.5</v>
      </c>
    </row>
    <row r="644" spans="2:8" x14ac:dyDescent="0.2">
      <c r="B644" s="314" t="s">
        <v>145</v>
      </c>
      <c r="C644" s="315"/>
      <c r="D644" s="315"/>
      <c r="E644" s="315"/>
      <c r="F644" s="315"/>
      <c r="G644" s="316"/>
      <c r="H644" s="92">
        <f>H640+H641-H642-H643</f>
        <v>41.732499999999987</v>
      </c>
    </row>
    <row r="645" spans="2:8" x14ac:dyDescent="0.2">
      <c r="B645" s="108" t="s">
        <v>543</v>
      </c>
      <c r="C645" s="27" t="s">
        <v>166</v>
      </c>
      <c r="D645" s="12"/>
      <c r="E645" s="323"/>
      <c r="F645" s="325"/>
      <c r="G645" s="100"/>
      <c r="H645" s="100"/>
    </row>
    <row r="646" spans="2:8" x14ac:dyDescent="0.2">
      <c r="B646" s="29"/>
      <c r="C646" s="27" t="s">
        <v>203</v>
      </c>
      <c r="D646" s="12"/>
      <c r="E646" s="323">
        <f>3.7+2.35+3.7+2.35</f>
        <v>12.1</v>
      </c>
      <c r="F646" s="325"/>
      <c r="G646" s="100">
        <v>1.4</v>
      </c>
      <c r="H646" s="100">
        <f>E646*G646</f>
        <v>16.939999999999998</v>
      </c>
    </row>
    <row r="647" spans="2:8" x14ac:dyDescent="0.2">
      <c r="B647" s="29"/>
      <c r="C647" s="27" t="s">
        <v>199</v>
      </c>
      <c r="D647" s="12"/>
      <c r="E647" s="323">
        <v>3.7</v>
      </c>
      <c r="F647" s="325"/>
      <c r="G647" s="100">
        <v>2.35</v>
      </c>
      <c r="H647" s="100">
        <f t="shared" ref="H647:H648" si="44">E647*G647</f>
        <v>8.6950000000000003</v>
      </c>
    </row>
    <row r="648" spans="2:8" x14ac:dyDescent="0.2">
      <c r="B648" s="29"/>
      <c r="C648" s="27" t="s">
        <v>175</v>
      </c>
      <c r="D648" s="12"/>
      <c r="E648" s="323">
        <v>0.8</v>
      </c>
      <c r="F648" s="325"/>
      <c r="G648" s="100">
        <v>0.7</v>
      </c>
      <c r="H648" s="100">
        <f t="shared" si="44"/>
        <v>0.55999999999999994</v>
      </c>
    </row>
    <row r="649" spans="2:8" x14ac:dyDescent="0.2">
      <c r="B649" s="314" t="s">
        <v>145</v>
      </c>
      <c r="C649" s="315"/>
      <c r="D649" s="315"/>
      <c r="E649" s="315"/>
      <c r="F649" s="315"/>
      <c r="G649" s="316"/>
      <c r="H649" s="92">
        <f>H646+H647-H648</f>
        <v>25.074999999999999</v>
      </c>
    </row>
    <row r="650" spans="2:8" x14ac:dyDescent="0.2">
      <c r="B650" s="314" t="s">
        <v>10</v>
      </c>
      <c r="C650" s="315"/>
      <c r="D650" s="315"/>
      <c r="E650" s="315"/>
      <c r="F650" s="315"/>
      <c r="G650" s="316"/>
      <c r="H650" s="85">
        <f>H649+H644+H638+H634+H631+H627+H623+H615</f>
        <v>183.16749999999996</v>
      </c>
    </row>
    <row r="651" spans="2:8" s="96" customFormat="1" x14ac:dyDescent="0.2">
      <c r="B651" s="124" t="s">
        <v>492</v>
      </c>
      <c r="C651" s="120" t="str">
        <f>Orçamento!E135</f>
        <v xml:space="preserve">PINT.ESMALTE/ESQUAD.FERRO C/FUNDO ANTICOR. </v>
      </c>
      <c r="D651" s="31" t="s">
        <v>24</v>
      </c>
      <c r="E651" s="92" t="s">
        <v>149</v>
      </c>
      <c r="F651" s="92" t="s">
        <v>74</v>
      </c>
      <c r="G651" s="92" t="s">
        <v>79</v>
      </c>
      <c r="H651" s="92" t="s">
        <v>76</v>
      </c>
    </row>
    <row r="652" spans="2:8" x14ac:dyDescent="0.2">
      <c r="B652" s="108" t="s">
        <v>544</v>
      </c>
      <c r="C652" s="99" t="s">
        <v>164</v>
      </c>
      <c r="D652" s="100"/>
      <c r="E652" s="220">
        <v>1</v>
      </c>
      <c r="F652" s="111">
        <v>0.8</v>
      </c>
      <c r="G652" s="100">
        <v>2.1</v>
      </c>
      <c r="H652" s="100">
        <f>G652*E652</f>
        <v>2.1</v>
      </c>
    </row>
    <row r="653" spans="2:8" x14ac:dyDescent="0.2">
      <c r="B653" s="108" t="s">
        <v>545</v>
      </c>
      <c r="C653" s="99" t="s">
        <v>193</v>
      </c>
      <c r="D653" s="100"/>
      <c r="E653" s="220">
        <v>1</v>
      </c>
      <c r="F653" s="111">
        <v>3.6</v>
      </c>
      <c r="G653" s="100">
        <v>3.5</v>
      </c>
      <c r="H653" s="100">
        <f t="shared" ref="H653:H654" si="45">G653*E653</f>
        <v>3.5</v>
      </c>
    </row>
    <row r="654" spans="2:8" x14ac:dyDescent="0.2">
      <c r="B654" s="108" t="s">
        <v>546</v>
      </c>
      <c r="C654" s="99" t="s">
        <v>194</v>
      </c>
      <c r="D654" s="100"/>
      <c r="E654" s="220">
        <v>1</v>
      </c>
      <c r="F654" s="111">
        <v>2</v>
      </c>
      <c r="G654" s="100">
        <v>3.5</v>
      </c>
      <c r="H654" s="100">
        <f t="shared" si="45"/>
        <v>3.5</v>
      </c>
    </row>
    <row r="655" spans="2:8" x14ac:dyDescent="0.2">
      <c r="B655" s="108" t="s">
        <v>547</v>
      </c>
      <c r="C655" s="27" t="s">
        <v>219</v>
      </c>
      <c r="D655" s="12"/>
      <c r="E655" s="220">
        <v>1</v>
      </c>
      <c r="F655" s="111">
        <v>3.7</v>
      </c>
      <c r="G655" s="100">
        <v>1.1000000000000001</v>
      </c>
      <c r="H655" s="100">
        <f>G655*E655</f>
        <v>1.1000000000000001</v>
      </c>
    </row>
    <row r="656" spans="2:8" x14ac:dyDescent="0.2">
      <c r="B656" s="108" t="s">
        <v>548</v>
      </c>
      <c r="C656" s="99" t="s">
        <v>220</v>
      </c>
      <c r="D656" s="12"/>
      <c r="E656" s="225">
        <v>2</v>
      </c>
      <c r="F656" s="100">
        <v>0.6</v>
      </c>
      <c r="G656" s="100">
        <v>0.6</v>
      </c>
      <c r="H656" s="100">
        <f>G656*F656*E656</f>
        <v>0.72</v>
      </c>
    </row>
    <row r="657" spans="2:8" x14ac:dyDescent="0.2">
      <c r="B657" s="108" t="s">
        <v>549</v>
      </c>
      <c r="C657" s="99" t="s">
        <v>221</v>
      </c>
      <c r="D657" s="12"/>
      <c r="E657" s="225">
        <v>1</v>
      </c>
      <c r="F657" s="100">
        <v>0.6</v>
      </c>
      <c r="G657" s="100">
        <v>0.6</v>
      </c>
      <c r="H657" s="100">
        <f t="shared" ref="H657:H661" si="46">G657*F657*E657</f>
        <v>0.36</v>
      </c>
    </row>
    <row r="658" spans="2:8" x14ac:dyDescent="0.2">
      <c r="B658" s="108" t="s">
        <v>550</v>
      </c>
      <c r="C658" s="99" t="s">
        <v>222</v>
      </c>
      <c r="D658" s="12"/>
      <c r="E658" s="225">
        <v>1</v>
      </c>
      <c r="F658" s="100">
        <v>0.6</v>
      </c>
      <c r="G658" s="100">
        <v>0.6</v>
      </c>
      <c r="H658" s="100">
        <f t="shared" si="46"/>
        <v>0.36</v>
      </c>
    </row>
    <row r="659" spans="2:8" x14ac:dyDescent="0.2">
      <c r="B659" s="108" t="s">
        <v>551</v>
      </c>
      <c r="C659" s="99" t="s">
        <v>223</v>
      </c>
      <c r="D659" s="12"/>
      <c r="E659" s="225">
        <v>1</v>
      </c>
      <c r="F659" s="100">
        <v>0.6</v>
      </c>
      <c r="G659" s="100">
        <v>0.6</v>
      </c>
      <c r="H659" s="100">
        <f t="shared" si="46"/>
        <v>0.36</v>
      </c>
    </row>
    <row r="660" spans="2:8" x14ac:dyDescent="0.2">
      <c r="B660" s="108" t="s">
        <v>552</v>
      </c>
      <c r="C660" s="99" t="s">
        <v>224</v>
      </c>
      <c r="D660" s="12"/>
      <c r="E660" s="225">
        <v>1</v>
      </c>
      <c r="F660" s="100">
        <v>0.6</v>
      </c>
      <c r="G660" s="100">
        <v>0.6</v>
      </c>
      <c r="H660" s="100">
        <f t="shared" si="46"/>
        <v>0.36</v>
      </c>
    </row>
    <row r="661" spans="2:8" x14ac:dyDescent="0.2">
      <c r="B661" s="108" t="s">
        <v>553</v>
      </c>
      <c r="C661" s="99" t="s">
        <v>225</v>
      </c>
      <c r="D661" s="12"/>
      <c r="E661" s="225">
        <v>1</v>
      </c>
      <c r="F661" s="100">
        <v>0.8</v>
      </c>
      <c r="G661" s="100">
        <v>0.5</v>
      </c>
      <c r="H661" s="100">
        <f t="shared" si="46"/>
        <v>0.4</v>
      </c>
    </row>
    <row r="662" spans="2:8" x14ac:dyDescent="0.2">
      <c r="B662" s="108" t="s">
        <v>554</v>
      </c>
      <c r="C662" s="27" t="s">
        <v>226</v>
      </c>
      <c r="D662" s="12"/>
      <c r="E662" s="225">
        <v>1</v>
      </c>
      <c r="F662" s="100">
        <v>1</v>
      </c>
      <c r="G662" s="100">
        <v>0.5</v>
      </c>
      <c r="H662" s="100">
        <f t="shared" ref="H662:H668" si="47">G662*F662*E662</f>
        <v>0.5</v>
      </c>
    </row>
    <row r="663" spans="2:8" x14ac:dyDescent="0.2">
      <c r="B663" s="108" t="s">
        <v>555</v>
      </c>
      <c r="C663" s="27" t="s">
        <v>227</v>
      </c>
      <c r="D663" s="12"/>
      <c r="E663" s="225">
        <v>1</v>
      </c>
      <c r="F663" s="100">
        <v>1</v>
      </c>
      <c r="G663" s="100">
        <v>0.5</v>
      </c>
      <c r="H663" s="100">
        <f t="shared" si="47"/>
        <v>0.5</v>
      </c>
    </row>
    <row r="664" spans="2:8" x14ac:dyDescent="0.2">
      <c r="B664" s="108" t="s">
        <v>556</v>
      </c>
      <c r="C664" s="99" t="s">
        <v>228</v>
      </c>
      <c r="D664" s="12"/>
      <c r="E664" s="225">
        <v>1</v>
      </c>
      <c r="F664" s="100">
        <v>0.8</v>
      </c>
      <c r="G664" s="100">
        <v>2.1</v>
      </c>
      <c r="H664" s="100">
        <f t="shared" si="47"/>
        <v>1.6800000000000002</v>
      </c>
    </row>
    <row r="665" spans="2:8" x14ac:dyDescent="0.2">
      <c r="B665" s="108" t="s">
        <v>557</v>
      </c>
      <c r="C665" s="99" t="s">
        <v>229</v>
      </c>
      <c r="D665" s="12"/>
      <c r="E665" s="225">
        <v>1</v>
      </c>
      <c r="F665" s="100">
        <v>0.8</v>
      </c>
      <c r="G665" s="100">
        <v>2.1</v>
      </c>
      <c r="H665" s="100">
        <f t="shared" si="47"/>
        <v>1.6800000000000002</v>
      </c>
    </row>
    <row r="666" spans="2:8" x14ac:dyDescent="0.2">
      <c r="B666" s="108" t="s">
        <v>558</v>
      </c>
      <c r="C666" s="99" t="s">
        <v>230</v>
      </c>
      <c r="D666" s="12"/>
      <c r="E666" s="225">
        <v>1</v>
      </c>
      <c r="F666" s="100">
        <v>0.8</v>
      </c>
      <c r="G666" s="100">
        <v>2.1</v>
      </c>
      <c r="H666" s="100">
        <f t="shared" si="47"/>
        <v>1.6800000000000002</v>
      </c>
    </row>
    <row r="667" spans="2:8" x14ac:dyDescent="0.2">
      <c r="B667" s="108" t="s">
        <v>559</v>
      </c>
      <c r="C667" s="27" t="s">
        <v>231</v>
      </c>
      <c r="D667" s="12"/>
      <c r="E667" s="225">
        <v>1</v>
      </c>
      <c r="F667" s="100">
        <v>0.8</v>
      </c>
      <c r="G667" s="100">
        <v>2.1</v>
      </c>
      <c r="H667" s="100">
        <f t="shared" si="47"/>
        <v>1.6800000000000002</v>
      </c>
    </row>
    <row r="668" spans="2:8" x14ac:dyDescent="0.2">
      <c r="B668" s="108" t="s">
        <v>560</v>
      </c>
      <c r="C668" s="27" t="s">
        <v>232</v>
      </c>
      <c r="D668" s="12"/>
      <c r="E668" s="225">
        <v>2</v>
      </c>
      <c r="F668" s="100">
        <v>0.8</v>
      </c>
      <c r="G668" s="100">
        <v>2.1</v>
      </c>
      <c r="H668" s="100">
        <f t="shared" si="47"/>
        <v>3.3600000000000003</v>
      </c>
    </row>
    <row r="669" spans="2:8" x14ac:dyDescent="0.2">
      <c r="B669" s="108" t="s">
        <v>561</v>
      </c>
      <c r="C669" s="27" t="s">
        <v>233</v>
      </c>
      <c r="D669" s="12"/>
      <c r="E669" s="225">
        <v>3</v>
      </c>
      <c r="F669" s="100">
        <v>0.8</v>
      </c>
      <c r="G669" s="100">
        <v>2.1</v>
      </c>
      <c r="H669" s="100">
        <f t="shared" ref="H669:H671" si="48">G669*F669*E669</f>
        <v>5.0400000000000009</v>
      </c>
    </row>
    <row r="670" spans="2:8" x14ac:dyDescent="0.2">
      <c r="B670" s="108" t="s">
        <v>562</v>
      </c>
      <c r="C670" s="27" t="s">
        <v>234</v>
      </c>
      <c r="D670" s="12"/>
      <c r="E670" s="225">
        <v>1</v>
      </c>
      <c r="F670" s="100">
        <v>0.8</v>
      </c>
      <c r="G670" s="100">
        <v>2.1</v>
      </c>
      <c r="H670" s="100">
        <f t="shared" si="48"/>
        <v>1.6800000000000002</v>
      </c>
    </row>
    <row r="671" spans="2:8" x14ac:dyDescent="0.2">
      <c r="B671" s="108" t="s">
        <v>563</v>
      </c>
      <c r="C671" s="27" t="s">
        <v>235</v>
      </c>
      <c r="D671" s="12"/>
      <c r="E671" s="225">
        <v>3</v>
      </c>
      <c r="F671" s="100">
        <v>0.8</v>
      </c>
      <c r="G671" s="100">
        <v>2.1</v>
      </c>
      <c r="H671" s="100">
        <f t="shared" si="48"/>
        <v>5.0400000000000009</v>
      </c>
    </row>
    <row r="672" spans="2:8" x14ac:dyDescent="0.2">
      <c r="B672" s="314" t="s">
        <v>10</v>
      </c>
      <c r="C672" s="315"/>
      <c r="D672" s="315"/>
      <c r="E672" s="315"/>
      <c r="F672" s="315"/>
      <c r="G672" s="316"/>
      <c r="H672" s="85">
        <f>SUM(H652:H671)</f>
        <v>35.599999999999994</v>
      </c>
    </row>
    <row r="673" spans="2:8" s="96" customFormat="1" x14ac:dyDescent="0.2">
      <c r="B673" s="124" t="s">
        <v>493</v>
      </c>
      <c r="C673" s="120" t="str">
        <f>Orçamento!E136</f>
        <v xml:space="preserve">PINTURA ESMALTE ALQUIDICO ESTR.METALICA 2 DEMAOS </v>
      </c>
      <c r="D673" s="31" t="s">
        <v>24</v>
      </c>
      <c r="E673" s="326" t="s">
        <v>76</v>
      </c>
      <c r="F673" s="327"/>
      <c r="G673" s="92" t="s">
        <v>149</v>
      </c>
      <c r="H673" s="92" t="s">
        <v>150</v>
      </c>
    </row>
    <row r="674" spans="2:8" x14ac:dyDescent="0.2">
      <c r="B674" s="91" t="s">
        <v>472</v>
      </c>
      <c r="C674" s="27" t="s">
        <v>471</v>
      </c>
      <c r="D674" s="12"/>
      <c r="E674" s="360">
        <f>(((35.71*0.15)*2)+((35.71*0.03)*4))+(((33.67*0.15)*2)+((33.67*0.03)*4))+((((0.95*0.03)*4)+((0.95*0.15)*2))*48)+((((0.6*0.03)*4)+((0.6*0.15)*2))*47)</f>
        <v>60.135600000000004</v>
      </c>
      <c r="F674" s="360"/>
      <c r="G674" s="100">
        <v>7</v>
      </c>
      <c r="H674" s="100">
        <f>((E674*G674)*0.1)+E674*G674</f>
        <v>463.04412000000002</v>
      </c>
    </row>
    <row r="675" spans="2:8" x14ac:dyDescent="0.2">
      <c r="B675" s="91" t="s">
        <v>473</v>
      </c>
      <c r="C675" s="27" t="s">
        <v>471</v>
      </c>
      <c r="D675" s="12"/>
      <c r="E675" s="360">
        <f>((36.6*0.03)*4)+((36.6*0.15)*2)</f>
        <v>15.372</v>
      </c>
      <c r="F675" s="360"/>
      <c r="G675" s="100">
        <v>20</v>
      </c>
      <c r="H675" s="100">
        <f>((E675*G675)*0.1)+E675*G675</f>
        <v>338.18399999999997</v>
      </c>
    </row>
    <row r="676" spans="2:8" x14ac:dyDescent="0.2">
      <c r="B676" s="91" t="s">
        <v>474</v>
      </c>
      <c r="C676" s="27" t="s">
        <v>476</v>
      </c>
      <c r="D676" s="12"/>
      <c r="E676" s="323" t="s">
        <v>478</v>
      </c>
      <c r="F676" s="325"/>
      <c r="G676" s="100">
        <v>1</v>
      </c>
      <c r="H676" s="100">
        <f>35.35*36.66</f>
        <v>1295.931</v>
      </c>
    </row>
    <row r="677" spans="2:8" x14ac:dyDescent="0.2">
      <c r="B677" s="91" t="s">
        <v>475</v>
      </c>
      <c r="C677" s="27" t="s">
        <v>477</v>
      </c>
      <c r="D677" s="12"/>
      <c r="E677" s="323" t="s">
        <v>478</v>
      </c>
      <c r="F677" s="325"/>
      <c r="G677" s="100">
        <v>1</v>
      </c>
      <c r="H677" s="100">
        <f>35.35*36.66</f>
        <v>1295.931</v>
      </c>
    </row>
    <row r="678" spans="2:8" x14ac:dyDescent="0.2">
      <c r="B678" s="314" t="s">
        <v>10</v>
      </c>
      <c r="C678" s="315"/>
      <c r="D678" s="315"/>
      <c r="E678" s="315"/>
      <c r="F678" s="315"/>
      <c r="G678" s="316"/>
      <c r="H678" s="85">
        <f>H675+H674+H676+H677</f>
        <v>3393.0901200000003</v>
      </c>
    </row>
    <row r="679" spans="2:8" s="96" customFormat="1" x14ac:dyDescent="0.2">
      <c r="B679" s="124" t="s">
        <v>494</v>
      </c>
      <c r="C679" s="156" t="str">
        <f>Orçamento!E137</f>
        <v xml:space="preserve">PINTURA ACRILICA EM PISO CIMENTADO DUAS DEMAOS </v>
      </c>
      <c r="D679" s="31" t="s">
        <v>24</v>
      </c>
      <c r="E679" s="332" t="s">
        <v>240</v>
      </c>
      <c r="F679" s="333"/>
      <c r="G679" s="334"/>
      <c r="H679" s="92" t="s">
        <v>76</v>
      </c>
    </row>
    <row r="680" spans="2:8" x14ac:dyDescent="0.2">
      <c r="B680" s="108" t="s">
        <v>564</v>
      </c>
      <c r="C680" s="27" t="s">
        <v>236</v>
      </c>
      <c r="D680" s="36"/>
      <c r="E680" s="338" t="s">
        <v>243</v>
      </c>
      <c r="F680" s="339"/>
      <c r="G680" s="339"/>
      <c r="H680" s="100">
        <f>428.72+74.2</f>
        <v>502.92</v>
      </c>
    </row>
    <row r="681" spans="2:8" x14ac:dyDescent="0.2">
      <c r="B681" s="108" t="s">
        <v>565</v>
      </c>
      <c r="C681" s="27" t="s">
        <v>159</v>
      </c>
      <c r="D681" s="224"/>
      <c r="E681" s="338" t="s">
        <v>724</v>
      </c>
      <c r="F681" s="339"/>
      <c r="G681" s="407"/>
      <c r="H681" s="218">
        <v>25.86</v>
      </c>
    </row>
    <row r="682" spans="2:8" x14ac:dyDescent="0.2">
      <c r="B682" s="108" t="s">
        <v>566</v>
      </c>
      <c r="C682" s="27" t="s">
        <v>237</v>
      </c>
      <c r="D682" s="36"/>
      <c r="E682" s="340" t="s">
        <v>239</v>
      </c>
      <c r="F682" s="341"/>
      <c r="G682" s="342"/>
      <c r="H682" s="101">
        <f>3.6*4.45+1.6*1.2+1.5*0.2+2.65*0.5+0.4*1.5+6.9*1.2+0.4*1.5+2.3*0.5+0.4*1.5+6.9*1.2+0.4*1.5+3.3*0.5+1.5*0.4+2.11*5.85+1*5+1.05*31</f>
        <v>91.8185</v>
      </c>
    </row>
    <row r="683" spans="2:8" x14ac:dyDescent="0.2">
      <c r="B683" s="108" t="s">
        <v>567</v>
      </c>
      <c r="C683" s="27" t="s">
        <v>238</v>
      </c>
      <c r="D683" s="12"/>
      <c r="E683" s="335" t="s">
        <v>241</v>
      </c>
      <c r="F683" s="336"/>
      <c r="G683" s="337"/>
      <c r="H683" s="100">
        <f>0.7*29.75+0.6*29.75+0.6*29.75+0.6*26.05+0.3*1.6+0.3*6.9+0.3*6.9+1.4*25.8+6.8*25.8+0.8*25.8+0.8*25.8</f>
        <v>329.61499999999995</v>
      </c>
    </row>
    <row r="684" spans="2:8" ht="69" customHeight="1" x14ac:dyDescent="0.2">
      <c r="B684" s="108" t="s">
        <v>568</v>
      </c>
      <c r="C684" s="27" t="s">
        <v>482</v>
      </c>
      <c r="D684" s="12"/>
      <c r="E684" s="335" t="s">
        <v>483</v>
      </c>
      <c r="F684" s="336"/>
      <c r="G684" s="337"/>
      <c r="H684" s="100">
        <f>(1.1*5.9+0.6*2.5+1.1*5.8+0.6*1.1+1.1*6+0.6+2.5+1.1*5+2*1.1)*2+0.15*(2+5+0.5+2.5+0.5+6+1.1+1.1+1.1+0.5+5.8+0.5+2.5+0.5+5.9+1.1+1.1+1.1)+1.1*2*(0.2+30.7+3.1)+0.15*(3.1+1.1+1.1+30.7+1.1+1.1)</f>
        <v>151.21</v>
      </c>
    </row>
    <row r="685" spans="2:8" ht="36" customHeight="1" x14ac:dyDescent="0.2">
      <c r="B685" s="108" t="s">
        <v>723</v>
      </c>
      <c r="C685" s="27" t="s">
        <v>484</v>
      </c>
      <c r="D685" s="12"/>
      <c r="E685" s="335" t="s">
        <v>485</v>
      </c>
      <c r="F685" s="336"/>
      <c r="G685" s="337"/>
      <c r="H685" s="100">
        <f>0.85*3+0.15*1.1+0.5*2+0.2*1.1+0.5*1.1+0.85*2.35+0.15*1.1*1*1.1*2</f>
        <v>6.8455000000000004</v>
      </c>
    </row>
    <row r="686" spans="2:8" x14ac:dyDescent="0.2">
      <c r="B686" s="314" t="s">
        <v>10</v>
      </c>
      <c r="C686" s="315"/>
      <c r="D686" s="315"/>
      <c r="E686" s="315"/>
      <c r="F686" s="315"/>
      <c r="G686" s="316"/>
      <c r="H686" s="85">
        <f>H683+H682+H680+H684+H685+H681</f>
        <v>1108.2689999999998</v>
      </c>
    </row>
    <row r="687" spans="2:8" s="96" customFormat="1" x14ac:dyDescent="0.2">
      <c r="B687" s="124" t="s">
        <v>495</v>
      </c>
      <c r="C687" s="156" t="str">
        <f>Orçamento!E138</f>
        <v xml:space="preserve">CAIAÇAO 2 DEMAOS EM POSTE/ VIGAS E MEIO FIO(OC) </v>
      </c>
      <c r="D687" s="31" t="s">
        <v>8</v>
      </c>
      <c r="E687" s="326" t="s">
        <v>172</v>
      </c>
      <c r="F687" s="327"/>
      <c r="G687" s="92" t="s">
        <v>101</v>
      </c>
      <c r="H687" s="92" t="s">
        <v>76</v>
      </c>
    </row>
    <row r="688" spans="2:8" ht="42" x14ac:dyDescent="0.2">
      <c r="B688" s="108" t="s">
        <v>569</v>
      </c>
      <c r="C688" s="27" t="s">
        <v>592</v>
      </c>
      <c r="D688" s="12"/>
      <c r="E688" s="335">
        <f>29.51+30.66+9.26+13.55+10.13+25.13+7.36+2.86+2.8+2.9+4.19+3+2.7+2.7+2.8+2.6+3.6+6.44+11.33</f>
        <v>173.52</v>
      </c>
      <c r="F688" s="337"/>
      <c r="G688" s="100">
        <v>0.15</v>
      </c>
      <c r="H688" s="100">
        <f>E688*G688</f>
        <v>26.028000000000002</v>
      </c>
    </row>
    <row r="689" spans="2:8" ht="15" thickBot="1" x14ac:dyDescent="0.25">
      <c r="B689" s="317" t="s">
        <v>10</v>
      </c>
      <c r="C689" s="318"/>
      <c r="D689" s="318"/>
      <c r="E689" s="318"/>
      <c r="F689" s="318"/>
      <c r="G689" s="319"/>
      <c r="H689" s="87">
        <f>H688</f>
        <v>26.028000000000002</v>
      </c>
    </row>
    <row r="690" spans="2:8" ht="15" customHeight="1" thickBot="1" x14ac:dyDescent="0.25">
      <c r="B690" s="281" t="s">
        <v>28</v>
      </c>
      <c r="C690" s="282"/>
      <c r="D690" s="282"/>
      <c r="E690" s="282"/>
      <c r="F690" s="282"/>
      <c r="G690" s="282"/>
      <c r="H690" s="283"/>
    </row>
    <row r="691" spans="2:8" s="96" customFormat="1" x14ac:dyDescent="0.2">
      <c r="B691" s="152" t="s">
        <v>570</v>
      </c>
      <c r="C691" s="95" t="str">
        <f>Orçamento!E141</f>
        <v>LIMPEZA FINAL DE OBRA - (OBRAS CIVIS)</v>
      </c>
      <c r="D691" s="119" t="s">
        <v>8</v>
      </c>
      <c r="E691" s="328">
        <v>1165.8507999999999</v>
      </c>
      <c r="F691" s="392"/>
      <c r="G691" s="392"/>
      <c r="H691" s="393"/>
    </row>
    <row r="692" spans="2:8" x14ac:dyDescent="0.2">
      <c r="B692" s="314" t="s">
        <v>10</v>
      </c>
      <c r="C692" s="315"/>
      <c r="D692" s="315"/>
      <c r="E692" s="315"/>
      <c r="F692" s="315"/>
      <c r="G692" s="316"/>
      <c r="H692" s="85">
        <f>E691</f>
        <v>1165.8507999999999</v>
      </c>
    </row>
    <row r="693" spans="2:8" s="96" customFormat="1" x14ac:dyDescent="0.2">
      <c r="B693" s="132" t="s">
        <v>571</v>
      </c>
      <c r="C693" s="158" t="str">
        <f>Orçamento!E142</f>
        <v>MASTROS PARA BANDEIRAS EM FERRO GALVANIZADO (ASSENTADOS/PINTADOS) - 3 UNIDADES</v>
      </c>
      <c r="D693" s="119" t="s">
        <v>496</v>
      </c>
      <c r="E693" s="343">
        <v>1</v>
      </c>
      <c r="F693" s="344"/>
      <c r="G693" s="344"/>
      <c r="H693" s="345"/>
    </row>
    <row r="694" spans="2:8" x14ac:dyDescent="0.2">
      <c r="B694" s="314" t="s">
        <v>10</v>
      </c>
      <c r="C694" s="315"/>
      <c r="D694" s="315"/>
      <c r="E694" s="315"/>
      <c r="F694" s="315"/>
      <c r="G694" s="316"/>
      <c r="H694" s="117">
        <f>E693</f>
        <v>1</v>
      </c>
    </row>
    <row r="695" spans="2:8" s="96" customFormat="1" x14ac:dyDescent="0.2">
      <c r="B695" s="132" t="s">
        <v>572</v>
      </c>
      <c r="C695" s="158" t="str">
        <f>Orçamento!E143</f>
        <v xml:space="preserve">TRAVES FERRO GALVANIZADO PARA FUTEBOL DE SALÃO PINTADAS - 3,00 x 2,00M - 2 UNID. </v>
      </c>
      <c r="D695" s="119" t="s">
        <v>496</v>
      </c>
      <c r="E695" s="343">
        <v>1</v>
      </c>
      <c r="F695" s="344"/>
      <c r="G695" s="344"/>
      <c r="H695" s="345"/>
    </row>
    <row r="696" spans="2:8" x14ac:dyDescent="0.2">
      <c r="B696" s="314" t="s">
        <v>10</v>
      </c>
      <c r="C696" s="315"/>
      <c r="D696" s="315"/>
      <c r="E696" s="315"/>
      <c r="F696" s="315"/>
      <c r="G696" s="316"/>
      <c r="H696" s="117">
        <f>E695</f>
        <v>1</v>
      </c>
    </row>
    <row r="697" spans="2:8" s="96" customFormat="1" x14ac:dyDescent="0.2">
      <c r="B697" s="132" t="s">
        <v>573</v>
      </c>
      <c r="C697" s="158" t="str">
        <f>Orçamento!E144</f>
        <v xml:space="preserve">CONJUNTO PARA VOLEIBOL EM FERRO GALVANIZADO COM PINTURA (2 SUPORTES) </v>
      </c>
      <c r="D697" s="119" t="s">
        <v>496</v>
      </c>
      <c r="E697" s="343">
        <v>1</v>
      </c>
      <c r="F697" s="344"/>
      <c r="G697" s="344"/>
      <c r="H697" s="345"/>
    </row>
    <row r="698" spans="2:8" x14ac:dyDescent="0.2">
      <c r="B698" s="314" t="s">
        <v>10</v>
      </c>
      <c r="C698" s="315"/>
      <c r="D698" s="315"/>
      <c r="E698" s="315"/>
      <c r="F698" s="315"/>
      <c r="G698" s="316"/>
      <c r="H698" s="117">
        <f>E697</f>
        <v>1</v>
      </c>
    </row>
    <row r="699" spans="2:8" s="96" customFormat="1" ht="29" customHeight="1" x14ac:dyDescent="0.2">
      <c r="B699" s="132" t="s">
        <v>574</v>
      </c>
      <c r="C699" s="158" t="str">
        <f>Orçamento!E145</f>
        <v>SUPORTE EM TUBO INDUSTRIAL REMOVÍVEL PARA TABELA DE BASQUETE - 2 UNID.(ASSENT./PINTADOS)</v>
      </c>
      <c r="D699" s="119" t="s">
        <v>496</v>
      </c>
      <c r="E699" s="343">
        <v>1</v>
      </c>
      <c r="F699" s="344"/>
      <c r="G699" s="344"/>
      <c r="H699" s="345"/>
    </row>
    <row r="700" spans="2:8" x14ac:dyDescent="0.2">
      <c r="B700" s="314" t="s">
        <v>10</v>
      </c>
      <c r="C700" s="315"/>
      <c r="D700" s="315"/>
      <c r="E700" s="315"/>
      <c r="F700" s="315"/>
      <c r="G700" s="316"/>
      <c r="H700" s="117">
        <f>E699</f>
        <v>1</v>
      </c>
    </row>
    <row r="701" spans="2:8" s="96" customFormat="1" ht="28" x14ac:dyDescent="0.2">
      <c r="B701" s="132" t="s">
        <v>575</v>
      </c>
      <c r="C701" s="158" t="str">
        <f>Orçamento!E146</f>
        <v xml:space="preserve"> TABELA PARA BASQUETE ESTRUTURA METÁLICA E COMPENSADO (ASSENT./PINTADAS) ARO METÁLICO - 2 UNID.</v>
      </c>
      <c r="D701" s="119" t="s">
        <v>496</v>
      </c>
      <c r="E701" s="343">
        <v>1</v>
      </c>
      <c r="F701" s="344"/>
      <c r="G701" s="344"/>
      <c r="H701" s="345"/>
    </row>
    <row r="702" spans="2:8" x14ac:dyDescent="0.2">
      <c r="B702" s="314" t="s">
        <v>10</v>
      </c>
      <c r="C702" s="315"/>
      <c r="D702" s="315"/>
      <c r="E702" s="315"/>
      <c r="F702" s="315"/>
      <c r="G702" s="316"/>
      <c r="H702" s="117">
        <f>E701</f>
        <v>1</v>
      </c>
    </row>
    <row r="703" spans="2:8" s="96" customFormat="1" x14ac:dyDescent="0.2">
      <c r="B703" s="132" t="s">
        <v>576</v>
      </c>
      <c r="C703" s="158" t="str">
        <f>Orçamento!E147</f>
        <v xml:space="preserve">OBELISCO PARA PLACA DE INAUGURAÇÃO - PADRÃO AGETOP </v>
      </c>
      <c r="D703" s="119" t="s">
        <v>41</v>
      </c>
      <c r="E703" s="343">
        <v>1</v>
      </c>
      <c r="F703" s="344"/>
      <c r="G703" s="344"/>
      <c r="H703" s="345"/>
    </row>
    <row r="704" spans="2:8" x14ac:dyDescent="0.2">
      <c r="B704" s="314" t="s">
        <v>10</v>
      </c>
      <c r="C704" s="315"/>
      <c r="D704" s="315"/>
      <c r="E704" s="315"/>
      <c r="F704" s="315"/>
      <c r="G704" s="316"/>
      <c r="H704" s="117">
        <f>E703</f>
        <v>1</v>
      </c>
    </row>
    <row r="705" spans="2:12" s="96" customFormat="1" ht="42" x14ac:dyDescent="0.2">
      <c r="B705" s="92" t="s">
        <v>577</v>
      </c>
      <c r="C705" s="97" t="str">
        <f>Orçamento!E148</f>
        <v xml:space="preserve">MEIO FIO PD. AGETOP EM CONC. PRÉ MOLD. RETO/CURVO (5X25X100CM), FC28=20MPA COM ARGAM.(1CI:3ARMLC) P/ARREMATE DO REJUNT. E PINTURA A CAL 2 DEMÃOS - INCLUSO ESCAV./APILOAM./REATERRO E CONC.FC28= 10MPA P/ ASSENTAM. E CHUMBAMENTO </v>
      </c>
      <c r="D705" s="132" t="s">
        <v>61</v>
      </c>
      <c r="E705" s="347" t="s">
        <v>591</v>
      </c>
      <c r="F705" s="348"/>
      <c r="G705" s="348"/>
      <c r="H705" s="349"/>
    </row>
    <row r="706" spans="2:12" x14ac:dyDescent="0.2">
      <c r="B706" s="314" t="s">
        <v>10</v>
      </c>
      <c r="C706" s="315"/>
      <c r="D706" s="315"/>
      <c r="E706" s="315"/>
      <c r="F706" s="315"/>
      <c r="G706" s="316"/>
      <c r="H706" s="85">
        <f>0.3+5.8+0.96</f>
        <v>7.06</v>
      </c>
    </row>
    <row r="707" spans="2:12" s="96" customFormat="1" x14ac:dyDescent="0.2">
      <c r="B707" s="132" t="s">
        <v>590</v>
      </c>
      <c r="C707" s="159" t="str">
        <f>Orçamento!E149</f>
        <v xml:space="preserve">PLACA DE INAUGURACAO ACO ESCOVADO 80 X 60 CM </v>
      </c>
      <c r="D707" s="119" t="s">
        <v>41</v>
      </c>
      <c r="E707" s="346">
        <v>1</v>
      </c>
      <c r="F707" s="346"/>
      <c r="G707" s="346"/>
      <c r="H707" s="346"/>
    </row>
    <row r="708" spans="2:12" x14ac:dyDescent="0.2">
      <c r="B708" s="314" t="s">
        <v>10</v>
      </c>
      <c r="C708" s="315"/>
      <c r="D708" s="315"/>
      <c r="E708" s="315"/>
      <c r="F708" s="315"/>
      <c r="G708" s="316"/>
      <c r="H708" s="117">
        <f>E707</f>
        <v>1</v>
      </c>
    </row>
    <row r="711" spans="2:12" ht="42.75" customHeight="1" x14ac:dyDescent="0.2"/>
    <row r="713" spans="2:12" ht="15.75" customHeight="1" x14ac:dyDescent="0.2"/>
    <row r="718" spans="2:12" ht="15" x14ac:dyDescent="0.2">
      <c r="I718" s="7"/>
      <c r="J718" s="7"/>
      <c r="K718" s="7"/>
      <c r="L718" s="7"/>
    </row>
    <row r="719" spans="2:12" ht="15" customHeight="1" x14ac:dyDescent="0.2"/>
    <row r="720" spans="2:12" ht="15" customHeight="1" x14ac:dyDescent="0.2"/>
  </sheetData>
  <mergeCells count="610">
    <mergeCell ref="E681:G681"/>
    <mergeCell ref="E24:F24"/>
    <mergeCell ref="E26:F26"/>
    <mergeCell ref="E27:F27"/>
    <mergeCell ref="B28:G28"/>
    <mergeCell ref="E516:H516"/>
    <mergeCell ref="E517:H517"/>
    <mergeCell ref="B519:G519"/>
    <mergeCell ref="E518:H518"/>
    <mergeCell ref="B335:G335"/>
    <mergeCell ref="E501:F501"/>
    <mergeCell ref="E485:F485"/>
    <mergeCell ref="E486:F486"/>
    <mergeCell ref="B490:G490"/>
    <mergeCell ref="E487:F487"/>
    <mergeCell ref="E488:F488"/>
    <mergeCell ref="E489:F489"/>
    <mergeCell ref="E454:F454"/>
    <mergeCell ref="E446:F446"/>
    <mergeCell ref="E447:F447"/>
    <mergeCell ref="E448:F448"/>
    <mergeCell ref="E141:H141"/>
    <mergeCell ref="E142:H142"/>
    <mergeCell ref="E143:H143"/>
    <mergeCell ref="E144:H144"/>
    <mergeCell ref="B145:G145"/>
    <mergeCell ref="E146:H146"/>
    <mergeCell ref="E147:H147"/>
    <mergeCell ref="E148:H148"/>
    <mergeCell ref="E149:H149"/>
    <mergeCell ref="B150:G150"/>
    <mergeCell ref="E151:H151"/>
    <mergeCell ref="E152:H152"/>
    <mergeCell ref="E153:H153"/>
    <mergeCell ref="E154:H154"/>
    <mergeCell ref="B155:G155"/>
    <mergeCell ref="B438:G438"/>
    <mergeCell ref="E439:F439"/>
    <mergeCell ref="E440:F440"/>
    <mergeCell ref="E441:F441"/>
    <mergeCell ref="E443:F443"/>
    <mergeCell ref="E444:F444"/>
    <mergeCell ref="E263:F263"/>
    <mergeCell ref="E265:F265"/>
    <mergeCell ref="E262:F262"/>
    <mergeCell ref="E266:F266"/>
    <mergeCell ref="E268:F268"/>
    <mergeCell ref="E269:F269"/>
    <mergeCell ref="E270:F270"/>
    <mergeCell ref="E272:F272"/>
    <mergeCell ref="E273:F273"/>
    <mergeCell ref="E275:F275"/>
    <mergeCell ref="E255:H255"/>
    <mergeCell ref="E228:H228"/>
    <mergeCell ref="E231:H231"/>
    <mergeCell ref="E234:H234"/>
    <mergeCell ref="E219:H219"/>
    <mergeCell ref="B445:G445"/>
    <mergeCell ref="E451:F451"/>
    <mergeCell ref="E453:F453"/>
    <mergeCell ref="E491:F491"/>
    <mergeCell ref="E503:F503"/>
    <mergeCell ref="E504:F504"/>
    <mergeCell ref="E482:F482"/>
    <mergeCell ref="E282:F282"/>
    <mergeCell ref="E283:F283"/>
    <mergeCell ref="B442:G442"/>
    <mergeCell ref="B450:G450"/>
    <mergeCell ref="B473:H473"/>
    <mergeCell ref="E474:F474"/>
    <mergeCell ref="E475:F475"/>
    <mergeCell ref="B284:G284"/>
    <mergeCell ref="E436:F436"/>
    <mergeCell ref="E437:F437"/>
    <mergeCell ref="B449:G449"/>
    <mergeCell ref="B455:G455"/>
    <mergeCell ref="B459:G459"/>
    <mergeCell ref="E435:F435"/>
    <mergeCell ref="B374:G374"/>
    <mergeCell ref="E371:F371"/>
    <mergeCell ref="E373:F373"/>
    <mergeCell ref="B505:G505"/>
    <mergeCell ref="E496:G496"/>
    <mergeCell ref="E498:F498"/>
    <mergeCell ref="E494:G494"/>
    <mergeCell ref="E495:G495"/>
    <mergeCell ref="B497:G497"/>
    <mergeCell ref="E499:F499"/>
    <mergeCell ref="E500:F500"/>
    <mergeCell ref="B502:G502"/>
    <mergeCell ref="E222:H222"/>
    <mergeCell ref="E243:H243"/>
    <mergeCell ref="B244:G244"/>
    <mergeCell ref="E261:F261"/>
    <mergeCell ref="B253:G253"/>
    <mergeCell ref="E249:H249"/>
    <mergeCell ref="E252:H252"/>
    <mergeCell ref="B226:G226"/>
    <mergeCell ref="B229:G229"/>
    <mergeCell ref="B232:G232"/>
    <mergeCell ref="B235:G235"/>
    <mergeCell ref="B238:G238"/>
    <mergeCell ref="B241:G241"/>
    <mergeCell ref="B247:G247"/>
    <mergeCell ref="B250:G250"/>
    <mergeCell ref="E237:H237"/>
    <mergeCell ref="E240:H240"/>
    <mergeCell ref="E246:H246"/>
    <mergeCell ref="B256:G256"/>
    <mergeCell ref="E191:H191"/>
    <mergeCell ref="E194:H194"/>
    <mergeCell ref="E197:H197"/>
    <mergeCell ref="E201:H201"/>
    <mergeCell ref="E204:H204"/>
    <mergeCell ref="B193:G193"/>
    <mergeCell ref="E192:H192"/>
    <mergeCell ref="E195:H195"/>
    <mergeCell ref="E225:H225"/>
    <mergeCell ref="E207:H207"/>
    <mergeCell ref="E209:H209"/>
    <mergeCell ref="E213:H213"/>
    <mergeCell ref="E216:H216"/>
    <mergeCell ref="B196:G196"/>
    <mergeCell ref="B199:G199"/>
    <mergeCell ref="B202:G202"/>
    <mergeCell ref="B205:G205"/>
    <mergeCell ref="B208:G208"/>
    <mergeCell ref="E198:H198"/>
    <mergeCell ref="B223:G223"/>
    <mergeCell ref="B220:G220"/>
    <mergeCell ref="B217:G217"/>
    <mergeCell ref="B214:G214"/>
    <mergeCell ref="B211:G211"/>
    <mergeCell ref="E393:F393"/>
    <mergeCell ref="E375:F375"/>
    <mergeCell ref="E376:F376"/>
    <mergeCell ref="E377:F377"/>
    <mergeCell ref="E379:F379"/>
    <mergeCell ref="E380:F380"/>
    <mergeCell ref="B382:G382"/>
    <mergeCell ref="E378:F378"/>
    <mergeCell ref="E381:F381"/>
    <mergeCell ref="E427:F427"/>
    <mergeCell ref="E428:F428"/>
    <mergeCell ref="E429:F429"/>
    <mergeCell ref="E430:F430"/>
    <mergeCell ref="E431:F431"/>
    <mergeCell ref="E432:F432"/>
    <mergeCell ref="E433:F433"/>
    <mergeCell ref="B426:G426"/>
    <mergeCell ref="E413:F413"/>
    <mergeCell ref="E414:F414"/>
    <mergeCell ref="E420:F420"/>
    <mergeCell ref="E421:F421"/>
    <mergeCell ref="E422:F422"/>
    <mergeCell ref="E423:F423"/>
    <mergeCell ref="E424:F424"/>
    <mergeCell ref="E425:F425"/>
    <mergeCell ref="B415:G415"/>
    <mergeCell ref="B419:G419"/>
    <mergeCell ref="B418:G418"/>
    <mergeCell ref="B320:G320"/>
    <mergeCell ref="E408:F408"/>
    <mergeCell ref="E409:F409"/>
    <mergeCell ref="E405:F405"/>
    <mergeCell ref="E406:F406"/>
    <mergeCell ref="E407:F407"/>
    <mergeCell ref="E411:F411"/>
    <mergeCell ref="E412:F412"/>
    <mergeCell ref="B410:G410"/>
    <mergeCell ref="E372:F372"/>
    <mergeCell ref="E394:F394"/>
    <mergeCell ref="E395:F395"/>
    <mergeCell ref="E383:F383"/>
    <mergeCell ref="E384:F384"/>
    <mergeCell ref="E385:F385"/>
    <mergeCell ref="B389:G389"/>
    <mergeCell ref="B396:G396"/>
    <mergeCell ref="B404:G404"/>
    <mergeCell ref="E386:F386"/>
    <mergeCell ref="E387:F387"/>
    <mergeCell ref="E388:F388"/>
    <mergeCell ref="E390:F390"/>
    <mergeCell ref="E391:F391"/>
    <mergeCell ref="E392:F392"/>
    <mergeCell ref="B690:H690"/>
    <mergeCell ref="E691:H691"/>
    <mergeCell ref="B260:H260"/>
    <mergeCell ref="B281:G281"/>
    <mergeCell ref="B271:G271"/>
    <mergeCell ref="B267:G267"/>
    <mergeCell ref="B264:G264"/>
    <mergeCell ref="E286:F286"/>
    <mergeCell ref="E285:F285"/>
    <mergeCell ref="B287:G287"/>
    <mergeCell ref="B288:H288"/>
    <mergeCell ref="B356:H356"/>
    <mergeCell ref="B294:G294"/>
    <mergeCell ref="E295:F295"/>
    <mergeCell ref="E316:F316"/>
    <mergeCell ref="B276:G276"/>
    <mergeCell ref="E397:F397"/>
    <mergeCell ref="E398:F398"/>
    <mergeCell ref="B399:G399"/>
    <mergeCell ref="E416:F416"/>
    <mergeCell ref="E417:F417"/>
    <mergeCell ref="E308:H308"/>
    <mergeCell ref="E309:H309"/>
    <mergeCell ref="E310:H310"/>
    <mergeCell ref="B72:G72"/>
    <mergeCell ref="E157:H157"/>
    <mergeCell ref="E158:H158"/>
    <mergeCell ref="E159:H159"/>
    <mergeCell ref="E160:H160"/>
    <mergeCell ref="E289:F289"/>
    <mergeCell ref="E290:F290"/>
    <mergeCell ref="E291:F291"/>
    <mergeCell ref="E174:H174"/>
    <mergeCell ref="E167:H167"/>
    <mergeCell ref="E168:H168"/>
    <mergeCell ref="B169:G169"/>
    <mergeCell ref="E163:H163"/>
    <mergeCell ref="E171:H171"/>
    <mergeCell ref="E161:H161"/>
    <mergeCell ref="B162:G162"/>
    <mergeCell ref="E164:H164"/>
    <mergeCell ref="E165:H165"/>
    <mergeCell ref="E166:H166"/>
    <mergeCell ref="E187:H187"/>
    <mergeCell ref="E188:H188"/>
    <mergeCell ref="E189:H189"/>
    <mergeCell ref="B186:G186"/>
    <mergeCell ref="E277:F277"/>
    <mergeCell ref="B63:H63"/>
    <mergeCell ref="E64:F64"/>
    <mergeCell ref="E65:F65"/>
    <mergeCell ref="E66:F66"/>
    <mergeCell ref="E67:F67"/>
    <mergeCell ref="E68:F68"/>
    <mergeCell ref="E69:F69"/>
    <mergeCell ref="E70:F70"/>
    <mergeCell ref="E71:F71"/>
    <mergeCell ref="E12:F12"/>
    <mergeCell ref="E13:F13"/>
    <mergeCell ref="B11:H11"/>
    <mergeCell ref="B2:H2"/>
    <mergeCell ref="B3:H3"/>
    <mergeCell ref="B4:H4"/>
    <mergeCell ref="B6:H6"/>
    <mergeCell ref="B5:H5"/>
    <mergeCell ref="B7:H7"/>
    <mergeCell ref="B8:H8"/>
    <mergeCell ref="B9:H9"/>
    <mergeCell ref="E10:H10"/>
    <mergeCell ref="B19:G19"/>
    <mergeCell ref="E21:F21"/>
    <mergeCell ref="E22:F22"/>
    <mergeCell ref="E20:F20"/>
    <mergeCell ref="E14:F14"/>
    <mergeCell ref="B15:G15"/>
    <mergeCell ref="E17:F17"/>
    <mergeCell ref="E18:F18"/>
    <mergeCell ref="E16:F16"/>
    <mergeCell ref="B25:G25"/>
    <mergeCell ref="E23:F23"/>
    <mergeCell ref="E95:H95"/>
    <mergeCell ref="E96:H96"/>
    <mergeCell ref="E58:F58"/>
    <mergeCell ref="B59:G59"/>
    <mergeCell ref="E60:F60"/>
    <mergeCell ref="E61:F61"/>
    <mergeCell ref="B62:G62"/>
    <mergeCell ref="E53:H53"/>
    <mergeCell ref="E54:H54"/>
    <mergeCell ref="B55:G55"/>
    <mergeCell ref="E56:F56"/>
    <mergeCell ref="E57:F57"/>
    <mergeCell ref="B46:G46"/>
    <mergeCell ref="E51:H51"/>
    <mergeCell ref="E50:H50"/>
    <mergeCell ref="B52:G52"/>
    <mergeCell ref="B49:G49"/>
    <mergeCell ref="E47:H47"/>
    <mergeCell ref="E48:G48"/>
    <mergeCell ref="B43:G43"/>
    <mergeCell ref="E34:F34"/>
    <mergeCell ref="B94:H94"/>
    <mergeCell ref="E102:H102"/>
    <mergeCell ref="E103:H103"/>
    <mergeCell ref="B107:G107"/>
    <mergeCell ref="E108:H108"/>
    <mergeCell ref="E109:H109"/>
    <mergeCell ref="B97:G97"/>
    <mergeCell ref="E98:H98"/>
    <mergeCell ref="E99:H99"/>
    <mergeCell ref="E100:H100"/>
    <mergeCell ref="E101:H101"/>
    <mergeCell ref="E105:H105"/>
    <mergeCell ref="E106:H106"/>
    <mergeCell ref="E506:G506"/>
    <mergeCell ref="E184:H184"/>
    <mergeCell ref="E185:H185"/>
    <mergeCell ref="B179:G179"/>
    <mergeCell ref="E180:H180"/>
    <mergeCell ref="E181:H181"/>
    <mergeCell ref="B182:G182"/>
    <mergeCell ref="E110:H110"/>
    <mergeCell ref="E111:H111"/>
    <mergeCell ref="E112:H112"/>
    <mergeCell ref="E113:H113"/>
    <mergeCell ref="B117:G117"/>
    <mergeCell ref="B135:H135"/>
    <mergeCell ref="E136:H136"/>
    <mergeCell ref="E137:H137"/>
    <mergeCell ref="B140:G140"/>
    <mergeCell ref="E156:H156"/>
    <mergeCell ref="E138:H138"/>
    <mergeCell ref="E139:H139"/>
    <mergeCell ref="E175:H175"/>
    <mergeCell ref="E176:H176"/>
    <mergeCell ref="E297:F297"/>
    <mergeCell ref="E298:F298"/>
    <mergeCell ref="E299:F299"/>
    <mergeCell ref="B463:G463"/>
    <mergeCell ref="B403:G403"/>
    <mergeCell ref="E402:F402"/>
    <mergeCell ref="E401:F401"/>
    <mergeCell ref="E400:F400"/>
    <mergeCell ref="E460:F460"/>
    <mergeCell ref="E461:F461"/>
    <mergeCell ref="B462:G462"/>
    <mergeCell ref="B190:G190"/>
    <mergeCell ref="E315:F315"/>
    <mergeCell ref="B300:G300"/>
    <mergeCell ref="B301:H301"/>
    <mergeCell ref="E303:F303"/>
    <mergeCell ref="E304:F304"/>
    <mergeCell ref="E305:F305"/>
    <mergeCell ref="E306:F306"/>
    <mergeCell ref="E302:F302"/>
    <mergeCell ref="E296:F296"/>
    <mergeCell ref="E278:F278"/>
    <mergeCell ref="E279:F279"/>
    <mergeCell ref="B280:G280"/>
    <mergeCell ref="E292:F292"/>
    <mergeCell ref="E293:F293"/>
    <mergeCell ref="B307:G307"/>
    <mergeCell ref="E177:H177"/>
    <mergeCell ref="E178:H178"/>
    <mergeCell ref="E172:H172"/>
    <mergeCell ref="E170:H170"/>
    <mergeCell ref="B173:G173"/>
    <mergeCell ref="E456:F456"/>
    <mergeCell ref="E458:F458"/>
    <mergeCell ref="E452:F452"/>
    <mergeCell ref="E457:F457"/>
    <mergeCell ref="E183:H183"/>
    <mergeCell ref="B328:G328"/>
    <mergeCell ref="B332:G332"/>
    <mergeCell ref="B343:G343"/>
    <mergeCell ref="B366:G366"/>
    <mergeCell ref="B367:H367"/>
    <mergeCell ref="E368:F368"/>
    <mergeCell ref="E369:F369"/>
    <mergeCell ref="E370:F370"/>
    <mergeCell ref="B312:H312"/>
    <mergeCell ref="E313:F313"/>
    <mergeCell ref="E314:F314"/>
    <mergeCell ref="B317:G317"/>
    <mergeCell ref="E318:F318"/>
    <mergeCell ref="E319:F319"/>
    <mergeCell ref="E521:F521"/>
    <mergeCell ref="E522:F522"/>
    <mergeCell ref="E523:F523"/>
    <mergeCell ref="B524:G524"/>
    <mergeCell ref="E525:F525"/>
    <mergeCell ref="E526:F526"/>
    <mergeCell ref="E527:F527"/>
    <mergeCell ref="E528:F528"/>
    <mergeCell ref="E529:F529"/>
    <mergeCell ref="E530:F530"/>
    <mergeCell ref="B531:G531"/>
    <mergeCell ref="E532:F532"/>
    <mergeCell ref="E533:F533"/>
    <mergeCell ref="E534:F534"/>
    <mergeCell ref="E535:F535"/>
    <mergeCell ref="B536:G536"/>
    <mergeCell ref="B537:G537"/>
    <mergeCell ref="B550:G550"/>
    <mergeCell ref="E539:F539"/>
    <mergeCell ref="E540:F540"/>
    <mergeCell ref="E538:H538"/>
    <mergeCell ref="E549:F549"/>
    <mergeCell ref="B554:G554"/>
    <mergeCell ref="E555:F555"/>
    <mergeCell ref="E572:F572"/>
    <mergeCell ref="E573:F573"/>
    <mergeCell ref="E574:F574"/>
    <mergeCell ref="E575:F575"/>
    <mergeCell ref="E576:F576"/>
    <mergeCell ref="E564:F564"/>
    <mergeCell ref="E560:F560"/>
    <mergeCell ref="E561:F561"/>
    <mergeCell ref="E562:F562"/>
    <mergeCell ref="E578:F578"/>
    <mergeCell ref="E570:F570"/>
    <mergeCell ref="B571:G571"/>
    <mergeCell ref="B565:G565"/>
    <mergeCell ref="E566:F566"/>
    <mergeCell ref="E567:F567"/>
    <mergeCell ref="E568:F568"/>
    <mergeCell ref="E569:F569"/>
    <mergeCell ref="E541:F541"/>
    <mergeCell ref="E542:F542"/>
    <mergeCell ref="E543:F543"/>
    <mergeCell ref="B544:G544"/>
    <mergeCell ref="E545:F545"/>
    <mergeCell ref="E546:F546"/>
    <mergeCell ref="E547:F547"/>
    <mergeCell ref="E548:F548"/>
    <mergeCell ref="E563:F563"/>
    <mergeCell ref="E556:F556"/>
    <mergeCell ref="E557:F557"/>
    <mergeCell ref="E558:F558"/>
    <mergeCell ref="B559:G559"/>
    <mergeCell ref="E551:F551"/>
    <mergeCell ref="E552:F552"/>
    <mergeCell ref="E553:F553"/>
    <mergeCell ref="E579:F579"/>
    <mergeCell ref="E591:F591"/>
    <mergeCell ref="E580:F580"/>
    <mergeCell ref="E581:F581"/>
    <mergeCell ref="E582:F582"/>
    <mergeCell ref="E583:F583"/>
    <mergeCell ref="E584:F584"/>
    <mergeCell ref="E585:F585"/>
    <mergeCell ref="E586:F586"/>
    <mergeCell ref="E587:F587"/>
    <mergeCell ref="B590:G590"/>
    <mergeCell ref="E588:F588"/>
    <mergeCell ref="E589:F589"/>
    <mergeCell ref="E601:F601"/>
    <mergeCell ref="E602:F602"/>
    <mergeCell ref="E603:F603"/>
    <mergeCell ref="B604:G604"/>
    <mergeCell ref="E605:G605"/>
    <mergeCell ref="E606:G606"/>
    <mergeCell ref="E592:F592"/>
    <mergeCell ref="E593:F593"/>
    <mergeCell ref="E594:F594"/>
    <mergeCell ref="E595:F595"/>
    <mergeCell ref="E596:F596"/>
    <mergeCell ref="E597:F597"/>
    <mergeCell ref="E598:F598"/>
    <mergeCell ref="E599:F599"/>
    <mergeCell ref="E600:F600"/>
    <mergeCell ref="B608:G608"/>
    <mergeCell ref="E610:F610"/>
    <mergeCell ref="E611:F611"/>
    <mergeCell ref="E612:F612"/>
    <mergeCell ref="E613:F613"/>
    <mergeCell ref="E614:F614"/>
    <mergeCell ref="B615:G615"/>
    <mergeCell ref="E616:F616"/>
    <mergeCell ref="E617:F617"/>
    <mergeCell ref="E609:F609"/>
    <mergeCell ref="E618:F618"/>
    <mergeCell ref="E619:F619"/>
    <mergeCell ref="E620:F620"/>
    <mergeCell ref="E621:F621"/>
    <mergeCell ref="E622:F622"/>
    <mergeCell ref="B623:G623"/>
    <mergeCell ref="E624:F624"/>
    <mergeCell ref="E625:F625"/>
    <mergeCell ref="E626:F626"/>
    <mergeCell ref="B73:H73"/>
    <mergeCell ref="B81:G81"/>
    <mergeCell ref="E687:F687"/>
    <mergeCell ref="E688:F688"/>
    <mergeCell ref="B672:G672"/>
    <mergeCell ref="E673:F673"/>
    <mergeCell ref="E674:F674"/>
    <mergeCell ref="E675:F675"/>
    <mergeCell ref="B678:G678"/>
    <mergeCell ref="E645:F645"/>
    <mergeCell ref="E646:F646"/>
    <mergeCell ref="E647:F647"/>
    <mergeCell ref="E648:F648"/>
    <mergeCell ref="B649:G649"/>
    <mergeCell ref="B650:G650"/>
    <mergeCell ref="E104:H104"/>
    <mergeCell ref="E636:F636"/>
    <mergeCell ref="E637:F637"/>
    <mergeCell ref="B638:G638"/>
    <mergeCell ref="E639:F639"/>
    <mergeCell ref="E640:F640"/>
    <mergeCell ref="E641:F641"/>
    <mergeCell ref="E642:F642"/>
    <mergeCell ref="E643:F643"/>
    <mergeCell ref="B128:G128"/>
    <mergeCell ref="B131:G131"/>
    <mergeCell ref="B134:G134"/>
    <mergeCell ref="E118:H118"/>
    <mergeCell ref="E119:H119"/>
    <mergeCell ref="E121:H121"/>
    <mergeCell ref="E122:H122"/>
    <mergeCell ref="E124:H124"/>
    <mergeCell ref="E127:H127"/>
    <mergeCell ref="E125:H125"/>
    <mergeCell ref="E126:H126"/>
    <mergeCell ref="E130:H130"/>
    <mergeCell ref="E129:H129"/>
    <mergeCell ref="E132:H132"/>
    <mergeCell ref="E133:H133"/>
    <mergeCell ref="B78:G78"/>
    <mergeCell ref="B84:G84"/>
    <mergeCell ref="B87:G87"/>
    <mergeCell ref="E82:F82"/>
    <mergeCell ref="E83:F83"/>
    <mergeCell ref="E85:F85"/>
    <mergeCell ref="E86:F86"/>
    <mergeCell ref="E79:F79"/>
    <mergeCell ref="E80:F80"/>
    <mergeCell ref="E91:F91"/>
    <mergeCell ref="E92:F92"/>
    <mergeCell ref="B93:G93"/>
    <mergeCell ref="E676:F676"/>
    <mergeCell ref="E677:F677"/>
    <mergeCell ref="E684:G684"/>
    <mergeCell ref="E685:G685"/>
    <mergeCell ref="B510:H510"/>
    <mergeCell ref="B515:G515"/>
    <mergeCell ref="E511:H511"/>
    <mergeCell ref="E512:H512"/>
    <mergeCell ref="E513:H513"/>
    <mergeCell ref="E514:H514"/>
    <mergeCell ref="E344:H344"/>
    <mergeCell ref="E345:H345"/>
    <mergeCell ref="B346:G346"/>
    <mergeCell ref="B355:G355"/>
    <mergeCell ref="E258:H258"/>
    <mergeCell ref="B259:G259"/>
    <mergeCell ref="E114:H114"/>
    <mergeCell ref="E115:H115"/>
    <mergeCell ref="E116:H116"/>
    <mergeCell ref="B120:G120"/>
    <mergeCell ref="B123:G123"/>
    <mergeCell ref="B698:G698"/>
    <mergeCell ref="B700:G700"/>
    <mergeCell ref="B702:G702"/>
    <mergeCell ref="B704:G704"/>
    <mergeCell ref="B708:G708"/>
    <mergeCell ref="E693:H693"/>
    <mergeCell ref="E695:H695"/>
    <mergeCell ref="E697:H697"/>
    <mergeCell ref="E699:H699"/>
    <mergeCell ref="E701:H701"/>
    <mergeCell ref="E703:H703"/>
    <mergeCell ref="B706:G706"/>
    <mergeCell ref="E707:H707"/>
    <mergeCell ref="B694:G694"/>
    <mergeCell ref="E705:H705"/>
    <mergeCell ref="E481:F481"/>
    <mergeCell ref="E492:F492"/>
    <mergeCell ref="B493:G493"/>
    <mergeCell ref="E476:F476"/>
    <mergeCell ref="E477:F477"/>
    <mergeCell ref="E478:F478"/>
    <mergeCell ref="B479:G479"/>
    <mergeCell ref="B480:H480"/>
    <mergeCell ref="B696:G696"/>
    <mergeCell ref="E679:G679"/>
    <mergeCell ref="E683:G683"/>
    <mergeCell ref="E680:G680"/>
    <mergeCell ref="E682:G682"/>
    <mergeCell ref="B686:G686"/>
    <mergeCell ref="B644:G644"/>
    <mergeCell ref="B627:G627"/>
    <mergeCell ref="E628:F628"/>
    <mergeCell ref="E629:F629"/>
    <mergeCell ref="E630:F630"/>
    <mergeCell ref="B631:G631"/>
    <mergeCell ref="E632:F632"/>
    <mergeCell ref="E633:F633"/>
    <mergeCell ref="B634:G634"/>
    <mergeCell ref="E635:F635"/>
    <mergeCell ref="B90:G90"/>
    <mergeCell ref="E210:H210"/>
    <mergeCell ref="B692:G692"/>
    <mergeCell ref="B689:G689"/>
    <mergeCell ref="B607:G607"/>
    <mergeCell ref="B577:G577"/>
    <mergeCell ref="B520:H520"/>
    <mergeCell ref="B509:G509"/>
    <mergeCell ref="B434:G434"/>
    <mergeCell ref="B311:G311"/>
    <mergeCell ref="B274:G274"/>
    <mergeCell ref="E507:G507"/>
    <mergeCell ref="E508:G508"/>
    <mergeCell ref="B472:G472"/>
    <mergeCell ref="F464:G464"/>
    <mergeCell ref="F465:G465"/>
    <mergeCell ref="F466:G466"/>
    <mergeCell ref="F467:G467"/>
    <mergeCell ref="F468:G468"/>
    <mergeCell ref="F469:G469"/>
    <mergeCell ref="F470:G470"/>
    <mergeCell ref="F471:G471"/>
    <mergeCell ref="E483:F483"/>
    <mergeCell ref="B484:G484"/>
  </mergeCells>
  <phoneticPr fontId="21" type="noConversion"/>
  <pageMargins left="0.25" right="0.25" top="0.75" bottom="0.75" header="0.3" footer="0.3"/>
  <pageSetup paperSize="9" scale="9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Y39"/>
  <sheetViews>
    <sheetView view="pageBreakPreview" topLeftCell="B1" zoomScale="80" zoomScaleNormal="80" zoomScaleSheetLayoutView="87" zoomScalePageLayoutView="80" workbookViewId="0">
      <selection activeCell="L43" sqref="L43"/>
    </sheetView>
  </sheetViews>
  <sheetFormatPr baseColWidth="10" defaultColWidth="8.83203125" defaultRowHeight="15" x14ac:dyDescent="0.2"/>
  <cols>
    <col min="2" max="2" width="5.83203125" customWidth="1"/>
    <col min="3" max="3" width="58.5" customWidth="1"/>
    <col min="4" max="6" width="12.33203125" bestFit="1" customWidth="1"/>
    <col min="7" max="7" width="13.5" bestFit="1" customWidth="1"/>
    <col min="8" max="12" width="13.33203125" bestFit="1" customWidth="1"/>
    <col min="13" max="13" width="13.5" bestFit="1" customWidth="1"/>
    <col min="14" max="23" width="14.5" bestFit="1" customWidth="1"/>
    <col min="24" max="24" width="16.83203125" customWidth="1"/>
    <col min="25" max="25" width="11.33203125" customWidth="1"/>
  </cols>
  <sheetData>
    <row r="1" spans="2:25" ht="16" thickBot="1" x14ac:dyDescent="0.25"/>
    <row r="2" spans="2:25" x14ac:dyDescent="0.2">
      <c r="B2" s="416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8"/>
    </row>
    <row r="3" spans="2:25" x14ac:dyDescent="0.2">
      <c r="B3" s="419" t="s">
        <v>0</v>
      </c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1"/>
    </row>
    <row r="4" spans="2:25" x14ac:dyDescent="0.2">
      <c r="B4" s="419" t="s">
        <v>481</v>
      </c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1"/>
    </row>
    <row r="5" spans="2:25" x14ac:dyDescent="0.2">
      <c r="B5" s="419" t="str">
        <f>Orçamento!B5</f>
        <v>REFORMA DO GINÁSIO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1"/>
    </row>
    <row r="6" spans="2:25" x14ac:dyDescent="0.2">
      <c r="B6" s="419" t="str">
        <f>Orçamento!B6</f>
        <v>Rua José de Amorim, Quadra 6, Lote 1 - Santo Antônio do Rio Verde - Catalão-GO</v>
      </c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1"/>
    </row>
    <row r="7" spans="2:25" x14ac:dyDescent="0.2">
      <c r="B7" s="422" t="str">
        <f>Orçamento!B9</f>
        <v>29 DE JANEIRO DE 2018</v>
      </c>
      <c r="C7" s="423"/>
      <c r="D7" s="423"/>
      <c r="E7" s="423"/>
      <c r="F7" s="423"/>
      <c r="G7" s="423"/>
      <c r="H7" s="423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4"/>
    </row>
    <row r="8" spans="2:25" x14ac:dyDescent="0.2">
      <c r="B8" s="419" t="s">
        <v>35</v>
      </c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1"/>
    </row>
    <row r="9" spans="2:25" ht="16" thickBot="1" x14ac:dyDescent="0.25">
      <c r="B9" s="443" t="s">
        <v>282</v>
      </c>
      <c r="C9" s="444"/>
      <c r="D9" s="444"/>
      <c r="E9" s="444"/>
      <c r="F9" s="444"/>
      <c r="G9" s="444"/>
      <c r="H9" s="444"/>
      <c r="I9" s="444"/>
      <c r="J9" s="444"/>
      <c r="K9" s="444"/>
      <c r="L9" s="444"/>
      <c r="M9" s="444"/>
      <c r="N9" s="444"/>
      <c r="O9" s="444"/>
      <c r="P9" s="444"/>
      <c r="Q9" s="444"/>
      <c r="R9" s="444"/>
      <c r="S9" s="444"/>
      <c r="T9" s="444"/>
      <c r="U9" s="444"/>
      <c r="V9" s="444"/>
      <c r="W9" s="444"/>
      <c r="X9" s="444"/>
      <c r="Y9" s="445"/>
    </row>
    <row r="10" spans="2:25" ht="16" thickBot="1" x14ac:dyDescent="0.25">
      <c r="B10" s="429"/>
      <c r="C10" s="430"/>
      <c r="D10" s="430"/>
      <c r="E10" s="430"/>
      <c r="F10" s="430"/>
      <c r="G10" s="430"/>
      <c r="H10" s="430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30"/>
      <c r="X10" s="430"/>
      <c r="Y10" s="431"/>
    </row>
    <row r="11" spans="2:25" ht="16" thickBot="1" x14ac:dyDescent="0.25">
      <c r="B11" s="432" t="s">
        <v>29</v>
      </c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  <c r="P11" s="433"/>
      <c r="Q11" s="433"/>
      <c r="R11" s="433"/>
      <c r="S11" s="433"/>
      <c r="T11" s="433"/>
      <c r="U11" s="433"/>
      <c r="V11" s="433"/>
      <c r="W11" s="433"/>
      <c r="X11" s="433"/>
      <c r="Y11" s="434"/>
    </row>
    <row r="12" spans="2:25" ht="15" customHeight="1" x14ac:dyDescent="0.2">
      <c r="B12" s="435" t="s">
        <v>3</v>
      </c>
      <c r="C12" s="437" t="s">
        <v>30</v>
      </c>
      <c r="D12" s="411" t="s">
        <v>657</v>
      </c>
      <c r="E12" s="412"/>
      <c r="F12" s="412"/>
      <c r="G12" s="413"/>
      <c r="H12" s="412" t="s">
        <v>31</v>
      </c>
      <c r="I12" s="412"/>
      <c r="J12" s="412"/>
      <c r="K12" s="412"/>
      <c r="L12" s="411" t="s">
        <v>62</v>
      </c>
      <c r="M12" s="412"/>
      <c r="N12" s="412"/>
      <c r="O12" s="413"/>
      <c r="P12" s="412" t="s">
        <v>479</v>
      </c>
      <c r="Q12" s="412"/>
      <c r="R12" s="412"/>
      <c r="S12" s="412"/>
      <c r="T12" s="411" t="s">
        <v>480</v>
      </c>
      <c r="U12" s="412"/>
      <c r="V12" s="412"/>
      <c r="W12" s="413"/>
      <c r="X12" s="439" t="s">
        <v>32</v>
      </c>
      <c r="Y12" s="441" t="s">
        <v>33</v>
      </c>
    </row>
    <row r="13" spans="2:25" x14ac:dyDescent="0.2">
      <c r="B13" s="436"/>
      <c r="C13" s="438"/>
      <c r="D13" s="181" t="s">
        <v>642</v>
      </c>
      <c r="E13" s="3" t="s">
        <v>643</v>
      </c>
      <c r="F13" s="3" t="s">
        <v>644</v>
      </c>
      <c r="G13" s="182" t="s">
        <v>645</v>
      </c>
      <c r="H13" s="175" t="s">
        <v>642</v>
      </c>
      <c r="I13" s="3" t="s">
        <v>643</v>
      </c>
      <c r="J13" s="3" t="s">
        <v>644</v>
      </c>
      <c r="K13" s="195" t="s">
        <v>645</v>
      </c>
      <c r="L13" s="181" t="s">
        <v>642</v>
      </c>
      <c r="M13" s="3" t="s">
        <v>643</v>
      </c>
      <c r="N13" s="3" t="s">
        <v>644</v>
      </c>
      <c r="O13" s="182" t="s">
        <v>645</v>
      </c>
      <c r="P13" s="175" t="s">
        <v>642</v>
      </c>
      <c r="Q13" s="3" t="s">
        <v>643</v>
      </c>
      <c r="R13" s="3" t="s">
        <v>644</v>
      </c>
      <c r="S13" s="195" t="s">
        <v>645</v>
      </c>
      <c r="T13" s="181" t="s">
        <v>642</v>
      </c>
      <c r="U13" s="3" t="s">
        <v>643</v>
      </c>
      <c r="V13" s="3" t="s">
        <v>644</v>
      </c>
      <c r="W13" s="182" t="s">
        <v>645</v>
      </c>
      <c r="X13" s="440"/>
      <c r="Y13" s="442"/>
    </row>
    <row r="14" spans="2:25" x14ac:dyDescent="0.2">
      <c r="B14" s="6">
        <v>1</v>
      </c>
      <c r="C14" s="173" t="str">
        <f>Orçamento!B11</f>
        <v>Grupo de Serviço: 164 - Serviços Preliminares</v>
      </c>
      <c r="D14" s="183">
        <f>1/4</f>
        <v>0.25</v>
      </c>
      <c r="E14" s="18">
        <f t="shared" ref="E14:G14" si="0">1/4</f>
        <v>0.25</v>
      </c>
      <c r="F14" s="18">
        <f t="shared" si="0"/>
        <v>0.25</v>
      </c>
      <c r="G14" s="184">
        <f t="shared" si="0"/>
        <v>0.25</v>
      </c>
      <c r="H14" s="176"/>
      <c r="I14" s="34"/>
      <c r="J14" s="34"/>
      <c r="K14" s="196"/>
      <c r="L14" s="187"/>
      <c r="M14" s="34"/>
      <c r="N14" s="34"/>
      <c r="O14" s="189"/>
      <c r="P14" s="176"/>
      <c r="Q14" s="34"/>
      <c r="R14" s="34"/>
      <c r="S14" s="196"/>
      <c r="T14" s="187"/>
      <c r="U14" s="34"/>
      <c r="V14" s="34"/>
      <c r="W14" s="189"/>
      <c r="X14" s="202">
        <f>Orçamento!K23</f>
        <v>0</v>
      </c>
      <c r="Y14" s="5" t="e">
        <f t="shared" ref="Y14:Y29" si="1">X14/$X$31</f>
        <v>#DIV/0!</v>
      </c>
    </row>
    <row r="15" spans="2:25" x14ac:dyDescent="0.2">
      <c r="B15" s="6">
        <v>2</v>
      </c>
      <c r="C15" s="173" t="str">
        <f>Orçamento!B24</f>
        <v>Grupo de Serviço: 165 - Transportes</v>
      </c>
      <c r="D15" s="185">
        <f>1/20</f>
        <v>0.05</v>
      </c>
      <c r="E15" s="23">
        <f t="shared" ref="E15:W16" si="2">1/20</f>
        <v>0.05</v>
      </c>
      <c r="F15" s="23">
        <f t="shared" si="2"/>
        <v>0.05</v>
      </c>
      <c r="G15" s="186">
        <f t="shared" si="2"/>
        <v>0.05</v>
      </c>
      <c r="H15" s="177">
        <f t="shared" si="2"/>
        <v>0.05</v>
      </c>
      <c r="I15" s="23">
        <f t="shared" si="2"/>
        <v>0.05</v>
      </c>
      <c r="J15" s="23">
        <f t="shared" si="2"/>
        <v>0.05</v>
      </c>
      <c r="K15" s="197">
        <f t="shared" si="2"/>
        <v>0.05</v>
      </c>
      <c r="L15" s="185">
        <f t="shared" si="2"/>
        <v>0.05</v>
      </c>
      <c r="M15" s="23">
        <f t="shared" si="2"/>
        <v>0.05</v>
      </c>
      <c r="N15" s="23">
        <f t="shared" si="2"/>
        <v>0.05</v>
      </c>
      <c r="O15" s="186">
        <f t="shared" si="2"/>
        <v>0.05</v>
      </c>
      <c r="P15" s="177">
        <f t="shared" si="2"/>
        <v>0.05</v>
      </c>
      <c r="Q15" s="23">
        <f t="shared" si="2"/>
        <v>0.05</v>
      </c>
      <c r="R15" s="23">
        <f t="shared" si="2"/>
        <v>0.05</v>
      </c>
      <c r="S15" s="197">
        <f t="shared" si="2"/>
        <v>0.05</v>
      </c>
      <c r="T15" s="185">
        <f t="shared" si="2"/>
        <v>0.05</v>
      </c>
      <c r="U15" s="23">
        <f t="shared" si="2"/>
        <v>0.05</v>
      </c>
      <c r="V15" s="23">
        <f t="shared" si="2"/>
        <v>0.05</v>
      </c>
      <c r="W15" s="186">
        <f t="shared" si="2"/>
        <v>0.05</v>
      </c>
      <c r="X15" s="202">
        <f>Orçamento!K26</f>
        <v>0</v>
      </c>
      <c r="Y15" s="5" t="e">
        <f t="shared" si="1"/>
        <v>#DIV/0!</v>
      </c>
    </row>
    <row r="16" spans="2:25" x14ac:dyDescent="0.2">
      <c r="B16" s="6">
        <v>3</v>
      </c>
      <c r="C16" s="174" t="str">
        <f>Orçamento!B27</f>
        <v>Grupo de Serviço: 168 - Estrutura</v>
      </c>
      <c r="D16" s="185">
        <f>1/20</f>
        <v>0.05</v>
      </c>
      <c r="E16" s="23">
        <f t="shared" si="2"/>
        <v>0.05</v>
      </c>
      <c r="F16" s="23">
        <f t="shared" si="2"/>
        <v>0.05</v>
      </c>
      <c r="G16" s="186">
        <f t="shared" si="2"/>
        <v>0.05</v>
      </c>
      <c r="H16" s="177">
        <f t="shared" si="2"/>
        <v>0.05</v>
      </c>
      <c r="I16" s="23">
        <f t="shared" si="2"/>
        <v>0.05</v>
      </c>
      <c r="J16" s="23">
        <f t="shared" si="2"/>
        <v>0.05</v>
      </c>
      <c r="K16" s="197">
        <f t="shared" si="2"/>
        <v>0.05</v>
      </c>
      <c r="L16" s="185">
        <f t="shared" si="2"/>
        <v>0.05</v>
      </c>
      <c r="M16" s="23">
        <f t="shared" si="2"/>
        <v>0.05</v>
      </c>
      <c r="N16" s="23">
        <f t="shared" si="2"/>
        <v>0.05</v>
      </c>
      <c r="O16" s="186">
        <f t="shared" si="2"/>
        <v>0.05</v>
      </c>
      <c r="P16" s="177">
        <f t="shared" si="2"/>
        <v>0.05</v>
      </c>
      <c r="Q16" s="23">
        <f t="shared" si="2"/>
        <v>0.05</v>
      </c>
      <c r="R16" s="23">
        <f t="shared" si="2"/>
        <v>0.05</v>
      </c>
      <c r="S16" s="197">
        <f t="shared" si="2"/>
        <v>0.05</v>
      </c>
      <c r="T16" s="185">
        <f t="shared" si="2"/>
        <v>0.05</v>
      </c>
      <c r="U16" s="23">
        <f t="shared" si="2"/>
        <v>0.05</v>
      </c>
      <c r="V16" s="23">
        <f t="shared" si="2"/>
        <v>0.05</v>
      </c>
      <c r="W16" s="186">
        <f t="shared" si="2"/>
        <v>0.05</v>
      </c>
      <c r="X16" s="202">
        <f>Orçamento!K34</f>
        <v>0</v>
      </c>
      <c r="Y16" s="5" t="e">
        <f t="shared" si="1"/>
        <v>#DIV/0!</v>
      </c>
    </row>
    <row r="17" spans="2:25" ht="15" customHeight="1" x14ac:dyDescent="0.2">
      <c r="B17" s="6">
        <v>4</v>
      </c>
      <c r="C17" s="174" t="str">
        <f>Orçamento!B35</f>
        <v>Grupo de Serviço: 169 - Instalações Elét./Telefônica/Cabeamento Estruturado</v>
      </c>
      <c r="D17" s="187"/>
      <c r="E17" s="34"/>
      <c r="F17" s="34"/>
      <c r="G17" s="188"/>
      <c r="H17" s="176"/>
      <c r="I17" s="34"/>
      <c r="J17" s="34"/>
      <c r="K17" s="196"/>
      <c r="L17" s="187"/>
      <c r="M17" s="34"/>
      <c r="N17" s="34"/>
      <c r="O17" s="184">
        <f>1/2</f>
        <v>0.5</v>
      </c>
      <c r="P17" s="176"/>
      <c r="Q17" s="34"/>
      <c r="R17" s="34"/>
      <c r="S17" s="196"/>
      <c r="T17" s="187"/>
      <c r="U17" s="34"/>
      <c r="V17" s="18">
        <f>1/2</f>
        <v>0.5</v>
      </c>
      <c r="W17" s="189"/>
      <c r="X17" s="202">
        <f>Orçamento!K44</f>
        <v>0</v>
      </c>
      <c r="Y17" s="5" t="e">
        <f t="shared" si="1"/>
        <v>#DIV/0!</v>
      </c>
    </row>
    <row r="18" spans="2:25" x14ac:dyDescent="0.2">
      <c r="B18" s="6">
        <v>5</v>
      </c>
      <c r="C18" s="173" t="str">
        <f>Orçamento!B45</f>
        <v>Grupo de Serviço: 170 - Instalações hidro-sanitárias</v>
      </c>
      <c r="D18" s="187"/>
      <c r="E18" s="34"/>
      <c r="F18" s="34"/>
      <c r="G18" s="189"/>
      <c r="H18" s="176"/>
      <c r="I18" s="34"/>
      <c r="J18" s="34"/>
      <c r="K18" s="196"/>
      <c r="L18" s="187"/>
      <c r="M18" s="34"/>
      <c r="N18" s="34"/>
      <c r="O18" s="184">
        <f>1/2</f>
        <v>0.5</v>
      </c>
      <c r="P18" s="178">
        <f>1/2</f>
        <v>0.5</v>
      </c>
      <c r="Q18" s="34"/>
      <c r="R18" s="34"/>
      <c r="S18" s="196"/>
      <c r="T18" s="187"/>
      <c r="U18" s="34"/>
      <c r="V18" s="34"/>
      <c r="W18" s="189"/>
      <c r="X18" s="202">
        <f>Orçamento!K80</f>
        <v>0</v>
      </c>
      <c r="Y18" s="5" t="e">
        <f t="shared" si="1"/>
        <v>#DIV/0!</v>
      </c>
    </row>
    <row r="19" spans="2:25" x14ac:dyDescent="0.2">
      <c r="B19" s="6">
        <v>6</v>
      </c>
      <c r="C19" s="173" t="str">
        <f>Orçamento!B81</f>
        <v>Grupo de Serviço: 172 - Alvenarias e divisórias</v>
      </c>
      <c r="D19" s="187"/>
      <c r="E19" s="34"/>
      <c r="F19" s="34"/>
      <c r="G19" s="184">
        <f>1/5</f>
        <v>0.2</v>
      </c>
      <c r="H19" s="178">
        <f t="shared" ref="H19:K19" si="3">1/5</f>
        <v>0.2</v>
      </c>
      <c r="I19" s="18">
        <f t="shared" si="3"/>
        <v>0.2</v>
      </c>
      <c r="J19" s="18">
        <f t="shared" si="3"/>
        <v>0.2</v>
      </c>
      <c r="K19" s="198">
        <f t="shared" si="3"/>
        <v>0.2</v>
      </c>
      <c r="L19" s="187"/>
      <c r="M19" s="34"/>
      <c r="N19" s="34"/>
      <c r="O19" s="189"/>
      <c r="P19" s="176"/>
      <c r="Q19" s="34"/>
      <c r="R19" s="34"/>
      <c r="S19" s="196"/>
      <c r="T19" s="187"/>
      <c r="U19" s="34"/>
      <c r="V19" s="34"/>
      <c r="W19" s="189"/>
      <c r="X19" s="202">
        <f>Orçamento!K85</f>
        <v>0</v>
      </c>
      <c r="Y19" s="5" t="e">
        <f t="shared" si="1"/>
        <v>#DIV/0!</v>
      </c>
    </row>
    <row r="20" spans="2:25" x14ac:dyDescent="0.2">
      <c r="B20" s="6">
        <v>7</v>
      </c>
      <c r="C20" s="173" t="str">
        <f>Orçamento!B86</f>
        <v>Grupo de Serviço: 176 - Estrutura de madeira</v>
      </c>
      <c r="D20" s="187"/>
      <c r="E20" s="34"/>
      <c r="F20" s="34"/>
      <c r="G20" s="189"/>
      <c r="H20" s="176"/>
      <c r="I20" s="34"/>
      <c r="J20" s="34"/>
      <c r="K20" s="196"/>
      <c r="L20" s="183">
        <f>1/2</f>
        <v>0.5</v>
      </c>
      <c r="M20" s="18">
        <f>1/2</f>
        <v>0.5</v>
      </c>
      <c r="N20" s="34"/>
      <c r="O20" s="189"/>
      <c r="P20" s="176"/>
      <c r="Q20" s="34"/>
      <c r="R20" s="34"/>
      <c r="S20" s="196"/>
      <c r="T20" s="187"/>
      <c r="U20" s="34"/>
      <c r="V20" s="34"/>
      <c r="W20" s="189"/>
      <c r="X20" s="202">
        <f>Orçamento!K89</f>
        <v>0</v>
      </c>
      <c r="Y20" s="5" t="e">
        <f t="shared" si="1"/>
        <v>#DIV/0!</v>
      </c>
    </row>
    <row r="21" spans="2:25" x14ac:dyDescent="0.2">
      <c r="B21" s="6">
        <v>8</v>
      </c>
      <c r="C21" s="173" t="str">
        <f>Orçamento!B90</f>
        <v>Grupo de Serviço: 178 - Coberturas</v>
      </c>
      <c r="D21" s="187"/>
      <c r="E21" s="34"/>
      <c r="F21" s="34"/>
      <c r="G21" s="189"/>
      <c r="H21" s="176"/>
      <c r="I21" s="34"/>
      <c r="J21" s="34"/>
      <c r="K21" s="196"/>
      <c r="L21" s="187"/>
      <c r="M21" s="34"/>
      <c r="N21" s="18">
        <f>1/2</f>
        <v>0.5</v>
      </c>
      <c r="O21" s="184">
        <f>1/2</f>
        <v>0.5</v>
      </c>
      <c r="P21" s="176"/>
      <c r="Q21" s="34"/>
      <c r="R21" s="34"/>
      <c r="S21" s="196"/>
      <c r="T21" s="187"/>
      <c r="U21" s="34"/>
      <c r="V21" s="34"/>
      <c r="W21" s="189"/>
      <c r="X21" s="202">
        <f>Orçamento!K93</f>
        <v>0</v>
      </c>
      <c r="Y21" s="5" t="e">
        <f t="shared" si="1"/>
        <v>#DIV/0!</v>
      </c>
    </row>
    <row r="22" spans="2:25" x14ac:dyDescent="0.2">
      <c r="B22" s="6">
        <v>9</v>
      </c>
      <c r="C22" s="173" t="str">
        <f>Orçamento!B94</f>
        <v>Grupo de Serviço: 180 - Esquadrias metálicas</v>
      </c>
      <c r="D22" s="187"/>
      <c r="E22" s="34"/>
      <c r="F22" s="34"/>
      <c r="G22" s="189"/>
      <c r="H22" s="176"/>
      <c r="I22" s="34"/>
      <c r="J22" s="34"/>
      <c r="K22" s="196"/>
      <c r="L22" s="187"/>
      <c r="M22" s="34"/>
      <c r="N22" s="34"/>
      <c r="O22" s="184">
        <f>1/2</f>
        <v>0.5</v>
      </c>
      <c r="P22" s="178">
        <f>1/2</f>
        <v>0.5</v>
      </c>
      <c r="Q22" s="34"/>
      <c r="R22" s="34"/>
      <c r="S22" s="196"/>
      <c r="T22" s="187"/>
      <c r="U22" s="34"/>
      <c r="V22" s="34"/>
      <c r="W22" s="189"/>
      <c r="X22" s="202">
        <f>Orçamento!K103</f>
        <v>0</v>
      </c>
      <c r="Y22" s="5" t="e">
        <f t="shared" si="1"/>
        <v>#DIV/0!</v>
      </c>
    </row>
    <row r="23" spans="2:25" x14ac:dyDescent="0.2">
      <c r="B23" s="6">
        <v>10</v>
      </c>
      <c r="C23" s="173" t="str">
        <f>Orçamento!B104</f>
        <v>Grupo de Serviço: 181 - Vidros</v>
      </c>
      <c r="D23" s="187"/>
      <c r="E23" s="34"/>
      <c r="F23" s="34"/>
      <c r="G23" s="189"/>
      <c r="H23" s="176"/>
      <c r="I23" s="34"/>
      <c r="J23" s="34"/>
      <c r="K23" s="196"/>
      <c r="L23" s="187"/>
      <c r="M23" s="34"/>
      <c r="N23" s="34"/>
      <c r="O23" s="189"/>
      <c r="P23" s="176"/>
      <c r="Q23" s="34"/>
      <c r="R23" s="34"/>
      <c r="S23" s="196"/>
      <c r="T23" s="187"/>
      <c r="U23" s="34"/>
      <c r="V23" s="18">
        <f>1</f>
        <v>1</v>
      </c>
      <c r="W23" s="189"/>
      <c r="X23" s="202">
        <f>Orçamento!K106</f>
        <v>0</v>
      </c>
      <c r="Y23" s="5" t="e">
        <f t="shared" si="1"/>
        <v>#DIV/0!</v>
      </c>
    </row>
    <row r="24" spans="2:25" x14ac:dyDescent="0.2">
      <c r="B24" s="6">
        <v>11</v>
      </c>
      <c r="C24" s="173" t="str">
        <f>Orçamento!B107</f>
        <v>Grupo de Serviço: 182 -  Revestimento de paredes</v>
      </c>
      <c r="D24" s="187"/>
      <c r="E24" s="34"/>
      <c r="F24" s="34"/>
      <c r="G24" s="189"/>
      <c r="H24" s="176"/>
      <c r="I24" s="34"/>
      <c r="J24" s="34"/>
      <c r="K24" s="196"/>
      <c r="L24" s="183">
        <f>1/5</f>
        <v>0.2</v>
      </c>
      <c r="M24" s="18">
        <f t="shared" ref="M24:O24" si="4">1/5</f>
        <v>0.2</v>
      </c>
      <c r="N24" s="18">
        <f t="shared" si="4"/>
        <v>0.2</v>
      </c>
      <c r="O24" s="184">
        <f t="shared" si="4"/>
        <v>0.2</v>
      </c>
      <c r="P24" s="178">
        <f>1/5</f>
        <v>0.2</v>
      </c>
      <c r="Q24" s="34"/>
      <c r="R24" s="34"/>
      <c r="S24" s="196"/>
      <c r="T24" s="187"/>
      <c r="U24" s="34"/>
      <c r="V24" s="34"/>
      <c r="W24" s="189"/>
      <c r="X24" s="202">
        <f>Orçamento!K113</f>
        <v>0</v>
      </c>
      <c r="Y24" s="5" t="e">
        <f t="shared" si="1"/>
        <v>#DIV/0!</v>
      </c>
    </row>
    <row r="25" spans="2:25" x14ac:dyDescent="0.2">
      <c r="B25" s="6">
        <v>12</v>
      </c>
      <c r="C25" s="173" t="str">
        <f>Orçamento!B114</f>
        <v>Grupo de Serviço: 183 - Forros</v>
      </c>
      <c r="D25" s="187"/>
      <c r="E25" s="34"/>
      <c r="F25" s="34"/>
      <c r="G25" s="189"/>
      <c r="H25" s="176"/>
      <c r="I25" s="34"/>
      <c r="J25" s="34"/>
      <c r="K25" s="196"/>
      <c r="L25" s="187"/>
      <c r="M25" s="34"/>
      <c r="N25" s="34"/>
      <c r="O25" s="184">
        <f>1/2</f>
        <v>0.5</v>
      </c>
      <c r="P25" s="178">
        <f>1/2</f>
        <v>0.5</v>
      </c>
      <c r="Q25" s="34"/>
      <c r="R25" s="34"/>
      <c r="S25" s="196"/>
      <c r="T25" s="187"/>
      <c r="U25" s="34"/>
      <c r="V25" s="34"/>
      <c r="W25" s="189"/>
      <c r="X25" s="202">
        <f>Orçamento!K116</f>
        <v>0</v>
      </c>
      <c r="Y25" s="5" t="e">
        <f t="shared" si="1"/>
        <v>#DIV/0!</v>
      </c>
    </row>
    <row r="26" spans="2:25" x14ac:dyDescent="0.2">
      <c r="B26" s="6">
        <v>13</v>
      </c>
      <c r="C26" s="173" t="str">
        <f>Orçamento!B117</f>
        <v>Grupo de Serviço: 184 - Revestimento de piso</v>
      </c>
      <c r="D26" s="187"/>
      <c r="E26" s="34"/>
      <c r="F26" s="34"/>
      <c r="G26" s="189"/>
      <c r="H26" s="176"/>
      <c r="I26" s="34"/>
      <c r="J26" s="34"/>
      <c r="K26" s="196"/>
      <c r="L26" s="187"/>
      <c r="M26" s="18">
        <f>1/4</f>
        <v>0.25</v>
      </c>
      <c r="N26" s="18">
        <f t="shared" ref="N26:P26" si="5">1/4</f>
        <v>0.25</v>
      </c>
      <c r="O26" s="184">
        <f t="shared" si="5"/>
        <v>0.25</v>
      </c>
      <c r="P26" s="178">
        <f t="shared" si="5"/>
        <v>0.25</v>
      </c>
      <c r="Q26" s="34"/>
      <c r="R26" s="34"/>
      <c r="S26" s="196"/>
      <c r="T26" s="187"/>
      <c r="U26" s="34"/>
      <c r="V26" s="34"/>
      <c r="W26" s="189"/>
      <c r="X26" s="202">
        <f>Orçamento!K125</f>
        <v>0</v>
      </c>
      <c r="Y26" s="5" t="e">
        <f t="shared" si="1"/>
        <v>#DIV/0!</v>
      </c>
    </row>
    <row r="27" spans="2:25" x14ac:dyDescent="0.2">
      <c r="B27" s="6">
        <v>14</v>
      </c>
      <c r="C27" s="173" t="str">
        <f>Orçamento!B126</f>
        <v>Grupo de Serviço: 185 - Ferragens</v>
      </c>
      <c r="D27" s="187"/>
      <c r="E27" s="34"/>
      <c r="F27" s="34"/>
      <c r="G27" s="189"/>
      <c r="H27" s="176"/>
      <c r="I27" s="34"/>
      <c r="J27" s="34"/>
      <c r="K27" s="196"/>
      <c r="L27" s="187"/>
      <c r="M27" s="19"/>
      <c r="N27" s="19"/>
      <c r="O27" s="188"/>
      <c r="P27" s="201"/>
      <c r="Q27" s="34"/>
      <c r="R27" s="34"/>
      <c r="S27" s="196"/>
      <c r="T27" s="187"/>
      <c r="U27" s="34"/>
      <c r="V27" s="34"/>
      <c r="W27" s="184">
        <f>1</f>
        <v>1</v>
      </c>
      <c r="X27" s="202">
        <f>Orçamento!K129</f>
        <v>0</v>
      </c>
      <c r="Y27" s="5" t="e">
        <f t="shared" si="1"/>
        <v>#DIV/0!</v>
      </c>
    </row>
    <row r="28" spans="2:25" x14ac:dyDescent="0.2">
      <c r="B28" s="6">
        <v>15</v>
      </c>
      <c r="C28" s="173" t="str">
        <f>Orçamento!B130</f>
        <v>Grupo de Serviço: 188 - Pintura</v>
      </c>
      <c r="D28" s="187"/>
      <c r="E28" s="34"/>
      <c r="F28" s="34"/>
      <c r="G28" s="189"/>
      <c r="H28" s="176"/>
      <c r="I28" s="34"/>
      <c r="J28" s="34"/>
      <c r="K28" s="196"/>
      <c r="L28" s="187"/>
      <c r="M28" s="34"/>
      <c r="N28" s="34"/>
      <c r="O28" s="189"/>
      <c r="P28" s="178">
        <f>1/7</f>
        <v>0.14285714285714285</v>
      </c>
      <c r="Q28" s="18">
        <f t="shared" ref="Q28:V28" si="6">1/7</f>
        <v>0.14285714285714285</v>
      </c>
      <c r="R28" s="18">
        <f t="shared" si="6"/>
        <v>0.14285714285714285</v>
      </c>
      <c r="S28" s="198">
        <f t="shared" si="6"/>
        <v>0.14285714285714285</v>
      </c>
      <c r="T28" s="183">
        <f t="shared" si="6"/>
        <v>0.14285714285714285</v>
      </c>
      <c r="U28" s="18">
        <f t="shared" si="6"/>
        <v>0.14285714285714285</v>
      </c>
      <c r="V28" s="18">
        <f t="shared" si="6"/>
        <v>0.14285714285714285</v>
      </c>
      <c r="W28" s="189"/>
      <c r="X28" s="202">
        <f>Orçamento!K139</f>
        <v>0</v>
      </c>
      <c r="Y28" s="5" t="e">
        <f t="shared" si="1"/>
        <v>#DIV/0!</v>
      </c>
    </row>
    <row r="29" spans="2:25" x14ac:dyDescent="0.2">
      <c r="B29" s="6">
        <v>16</v>
      </c>
      <c r="C29" s="173" t="str">
        <f>Orçamento!B140</f>
        <v>Grupo de Serviço: 189 - Diversos</v>
      </c>
      <c r="D29" s="187"/>
      <c r="E29" s="34"/>
      <c r="F29" s="34"/>
      <c r="G29" s="189"/>
      <c r="H29" s="176"/>
      <c r="I29" s="34"/>
      <c r="J29" s="34"/>
      <c r="K29" s="196"/>
      <c r="L29" s="187"/>
      <c r="M29" s="34"/>
      <c r="N29" s="34"/>
      <c r="O29" s="189"/>
      <c r="P29" s="176"/>
      <c r="Q29" s="34"/>
      <c r="R29" s="34"/>
      <c r="S29" s="196"/>
      <c r="T29" s="187"/>
      <c r="U29" s="34"/>
      <c r="V29" s="34"/>
      <c r="W29" s="184">
        <f>1</f>
        <v>1</v>
      </c>
      <c r="X29" s="202">
        <f>Orçamento!K150</f>
        <v>0</v>
      </c>
      <c r="Y29" s="5" t="e">
        <f t="shared" si="1"/>
        <v>#DIV/0!</v>
      </c>
    </row>
    <row r="30" spans="2:25" s="235" customFormat="1" ht="19" x14ac:dyDescent="0.25">
      <c r="B30" s="414"/>
      <c r="C30" s="415"/>
      <c r="D30" s="228" t="e">
        <f>$X31*D31</f>
        <v>#DIV/0!</v>
      </c>
      <c r="E30" s="229" t="e">
        <f>$X31*(E31-D31)</f>
        <v>#DIV/0!</v>
      </c>
      <c r="F30" s="229" t="e">
        <f>$X31*(F31-E31)</f>
        <v>#DIV/0!</v>
      </c>
      <c r="G30" s="230" t="e">
        <f t="shared" ref="G30:W30" si="7">$X31*(G31-F31)</f>
        <v>#DIV/0!</v>
      </c>
      <c r="H30" s="231" t="e">
        <f t="shared" si="7"/>
        <v>#DIV/0!</v>
      </c>
      <c r="I30" s="229" t="e">
        <f t="shared" si="7"/>
        <v>#DIV/0!</v>
      </c>
      <c r="J30" s="229" t="e">
        <f t="shared" si="7"/>
        <v>#DIV/0!</v>
      </c>
      <c r="K30" s="232" t="e">
        <f t="shared" si="7"/>
        <v>#DIV/0!</v>
      </c>
      <c r="L30" s="228" t="e">
        <f t="shared" si="7"/>
        <v>#DIV/0!</v>
      </c>
      <c r="M30" s="229" t="e">
        <f t="shared" si="7"/>
        <v>#DIV/0!</v>
      </c>
      <c r="N30" s="229" t="e">
        <f t="shared" si="7"/>
        <v>#DIV/0!</v>
      </c>
      <c r="O30" s="230" t="e">
        <f t="shared" si="7"/>
        <v>#DIV/0!</v>
      </c>
      <c r="P30" s="231" t="e">
        <f t="shared" si="7"/>
        <v>#DIV/0!</v>
      </c>
      <c r="Q30" s="229" t="e">
        <f t="shared" si="7"/>
        <v>#DIV/0!</v>
      </c>
      <c r="R30" s="229" t="e">
        <f t="shared" si="7"/>
        <v>#DIV/0!</v>
      </c>
      <c r="S30" s="232" t="e">
        <f t="shared" si="7"/>
        <v>#DIV/0!</v>
      </c>
      <c r="T30" s="228" t="e">
        <f t="shared" si="7"/>
        <v>#DIV/0!</v>
      </c>
      <c r="U30" s="229" t="e">
        <f t="shared" si="7"/>
        <v>#DIV/0!</v>
      </c>
      <c r="V30" s="229" t="e">
        <f t="shared" si="7"/>
        <v>#DIV/0!</v>
      </c>
      <c r="W30" s="230" t="e">
        <f t="shared" si="7"/>
        <v>#DIV/0!</v>
      </c>
      <c r="X30" s="233"/>
      <c r="Y30" s="234"/>
    </row>
    <row r="31" spans="2:25" ht="18" x14ac:dyDescent="0.2">
      <c r="B31" s="446" t="s">
        <v>34</v>
      </c>
      <c r="C31" s="447"/>
      <c r="D31" s="190" t="e">
        <f>D32/X31</f>
        <v>#DIV/0!</v>
      </c>
      <c r="E31" s="2" t="e">
        <f>E32/$X$31</f>
        <v>#DIV/0!</v>
      </c>
      <c r="F31" s="2" t="e">
        <f>F32/$X$31</f>
        <v>#DIV/0!</v>
      </c>
      <c r="G31" s="191" t="e">
        <f>G32/$X$31</f>
        <v>#DIV/0!</v>
      </c>
      <c r="H31" s="179" t="e">
        <f>H32/$X$31</f>
        <v>#DIV/0!</v>
      </c>
      <c r="I31" s="2" t="e">
        <f>I32/$X$31</f>
        <v>#DIV/0!</v>
      </c>
      <c r="J31" s="2" t="e">
        <f t="shared" ref="J31:V31" si="8">J32/$X$31</f>
        <v>#DIV/0!</v>
      </c>
      <c r="K31" s="199" t="e">
        <f t="shared" si="8"/>
        <v>#DIV/0!</v>
      </c>
      <c r="L31" s="190" t="e">
        <f t="shared" si="8"/>
        <v>#DIV/0!</v>
      </c>
      <c r="M31" s="2" t="e">
        <f t="shared" si="8"/>
        <v>#DIV/0!</v>
      </c>
      <c r="N31" s="2" t="e">
        <f t="shared" si="8"/>
        <v>#DIV/0!</v>
      </c>
      <c r="O31" s="191" t="e">
        <f>O32/$X$31</f>
        <v>#DIV/0!</v>
      </c>
      <c r="P31" s="179" t="e">
        <f t="shared" si="8"/>
        <v>#DIV/0!</v>
      </c>
      <c r="Q31" s="2" t="e">
        <f t="shared" si="8"/>
        <v>#DIV/0!</v>
      </c>
      <c r="R31" s="2" t="e">
        <f t="shared" si="8"/>
        <v>#DIV/0!</v>
      </c>
      <c r="S31" s="199" t="e">
        <f>S32/$X$31</f>
        <v>#DIV/0!</v>
      </c>
      <c r="T31" s="190" t="e">
        <f t="shared" si="8"/>
        <v>#DIV/0!</v>
      </c>
      <c r="U31" s="2" t="e">
        <f t="shared" si="8"/>
        <v>#DIV/0!</v>
      </c>
      <c r="V31" s="2" t="e">
        <f t="shared" si="8"/>
        <v>#DIV/0!</v>
      </c>
      <c r="W31" s="191" t="e">
        <f>W32/$X$31</f>
        <v>#DIV/0!</v>
      </c>
      <c r="X31" s="236">
        <f>SUM(X14:X29)</f>
        <v>0</v>
      </c>
      <c r="Y31" s="5" t="e">
        <f>SUM(Y14:Y29)</f>
        <v>#DIV/0!</v>
      </c>
    </row>
    <row r="32" spans="2:25" ht="16" thickBot="1" x14ac:dyDescent="0.25">
      <c r="B32" s="448" t="s">
        <v>10</v>
      </c>
      <c r="C32" s="449"/>
      <c r="D32" s="192">
        <f>D14*$X$14+D15*$X$15+D16*$X$16+D17*$X$17+D18*$X$18+D19*$X$19+D20*$X$20+D21*$X$21+D22*$X$22+D23*$X$23+D24*$X$24+D25*$X$25+D26*$X$26+D28*$X$28+D29*$X$29</f>
        <v>0</v>
      </c>
      <c r="E32" s="193">
        <f t="shared" ref="E32:T32" si="9">D32+E14*$X$14+E15*$X$15+E16*$X$16+E17*$X$17+E18*$X$18+E19*$X$19+E20*$X$20+E21*$X$21+E22*$X$22+E23*$X$23+E24*$X$24+E25*$X$25+E26*$X$26+E28*$X$28+E29*$X$29+E27*$X$27</f>
        <v>0</v>
      </c>
      <c r="F32" s="193">
        <f t="shared" si="9"/>
        <v>0</v>
      </c>
      <c r="G32" s="194">
        <f t="shared" si="9"/>
        <v>0</v>
      </c>
      <c r="H32" s="180">
        <f t="shared" si="9"/>
        <v>0</v>
      </c>
      <c r="I32" s="17">
        <f t="shared" si="9"/>
        <v>0</v>
      </c>
      <c r="J32" s="17">
        <f t="shared" si="9"/>
        <v>0</v>
      </c>
      <c r="K32" s="200">
        <f t="shared" si="9"/>
        <v>0</v>
      </c>
      <c r="L32" s="192">
        <f t="shared" si="9"/>
        <v>0</v>
      </c>
      <c r="M32" s="193">
        <f t="shared" si="9"/>
        <v>0</v>
      </c>
      <c r="N32" s="193">
        <f t="shared" si="9"/>
        <v>0</v>
      </c>
      <c r="O32" s="194">
        <f t="shared" si="9"/>
        <v>0</v>
      </c>
      <c r="P32" s="180">
        <f t="shared" si="9"/>
        <v>0</v>
      </c>
      <c r="Q32" s="17">
        <f t="shared" si="9"/>
        <v>0</v>
      </c>
      <c r="R32" s="17">
        <f t="shared" si="9"/>
        <v>0</v>
      </c>
      <c r="S32" s="200">
        <f t="shared" si="9"/>
        <v>0</v>
      </c>
      <c r="T32" s="192">
        <f t="shared" si="9"/>
        <v>0</v>
      </c>
      <c r="U32" s="193">
        <f>T32+U14*$X$14+U15*$X$15+U16*$X$16+U17*$X$17+U18*$X$18+U19*$X$19+U20*$X$20+U21*$X$21+U22*$X$22+U23*$X$23+U24*$X$24+U25*$X$25+U26*$X$26+U28*$X$28+U29*$X$29+U27*$X$27</f>
        <v>0</v>
      </c>
      <c r="V32" s="193">
        <f>U32+V14*$X$14+V15*$X$15+V16*$X$16+V17*$X$17+V18*$X$18+V19*$X$19+V20*$X$20+V21*$X$21+V22*$X$22+V23*$X$23+V24*$X$24+V25*$X$25+V26*$X$26+V28*$X$28+V29*$X$29+V27*$X$27</f>
        <v>0</v>
      </c>
      <c r="W32" s="194">
        <f>V32+W14*$X$14+W15*$X$15+W16*$X$16+W17*$X$17+W18*$X$18+W19*$X$19+W20*$X$20+W21*$X$21+W22*$X$22+W23*$X$23+W24*$X$24+W25*$X$25+W26*$X$26+W28*$X$28+W29*$X$29+W27*$X$27</f>
        <v>0</v>
      </c>
      <c r="X32" s="409"/>
      <c r="Y32" s="410"/>
    </row>
    <row r="33" spans="2:25" x14ac:dyDescent="0.2">
      <c r="B33" s="160"/>
      <c r="C33" s="161"/>
      <c r="D33" s="161"/>
      <c r="E33" s="425"/>
      <c r="F33" s="425"/>
      <c r="G33" s="425"/>
      <c r="H33" s="425"/>
      <c r="I33" s="425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3"/>
      <c r="Y33" s="164"/>
    </row>
    <row r="34" spans="2:25" ht="24" x14ac:dyDescent="0.2">
      <c r="B34" s="165"/>
      <c r="C34" s="4"/>
      <c r="D34" s="4"/>
      <c r="E34" s="426"/>
      <c r="F34" s="426"/>
      <c r="G34" s="426"/>
      <c r="H34" s="426"/>
      <c r="I34" s="42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7"/>
      <c r="Y34" s="168"/>
    </row>
    <row r="35" spans="2:25" x14ac:dyDescent="0.2">
      <c r="B35" s="165"/>
      <c r="C35" s="427" t="s">
        <v>39</v>
      </c>
      <c r="D35" s="427"/>
      <c r="E35" s="39"/>
      <c r="F35" s="39"/>
      <c r="G35" s="39"/>
      <c r="H35" s="39"/>
      <c r="I35" s="39"/>
      <c r="J35" s="39"/>
      <c r="K35" s="427" t="s">
        <v>39</v>
      </c>
      <c r="L35" s="427"/>
      <c r="M35" s="427"/>
      <c r="N35" s="427"/>
      <c r="O35" s="427"/>
      <c r="P35" s="39"/>
      <c r="Q35" s="39"/>
      <c r="R35" s="39"/>
      <c r="S35" s="39"/>
      <c r="T35" s="39"/>
      <c r="U35" s="39"/>
      <c r="V35" s="39"/>
      <c r="W35" s="39"/>
      <c r="X35" s="167"/>
      <c r="Y35" s="168"/>
    </row>
    <row r="36" spans="2:25" ht="16" x14ac:dyDescent="0.2">
      <c r="B36" s="165"/>
      <c r="C36" s="428"/>
      <c r="D36" s="428"/>
      <c r="E36" s="38"/>
      <c r="F36" s="38"/>
      <c r="G36" s="38"/>
      <c r="H36" s="38"/>
      <c r="I36" s="38"/>
      <c r="J36" s="38"/>
      <c r="K36" s="428"/>
      <c r="L36" s="428"/>
      <c r="M36" s="428"/>
      <c r="N36" s="428"/>
      <c r="O36" s="428"/>
      <c r="P36" s="38"/>
      <c r="Q36" s="38"/>
      <c r="R36" s="38"/>
      <c r="S36" s="38"/>
      <c r="T36" s="38"/>
      <c r="U36" s="38"/>
      <c r="V36" s="38"/>
      <c r="W36" s="38"/>
      <c r="X36" s="167"/>
      <c r="Y36" s="168"/>
    </row>
    <row r="37" spans="2:25" ht="16" x14ac:dyDescent="0.2">
      <c r="B37" s="165"/>
      <c r="C37" s="428"/>
      <c r="D37" s="428"/>
      <c r="E37" s="38"/>
      <c r="F37" s="38"/>
      <c r="G37" s="38"/>
      <c r="H37" s="38"/>
      <c r="I37" s="38"/>
      <c r="J37" s="38"/>
      <c r="K37" s="428"/>
      <c r="L37" s="428"/>
      <c r="M37" s="428"/>
      <c r="N37" s="428"/>
      <c r="O37" s="428"/>
      <c r="P37" s="38"/>
      <c r="Q37" s="38"/>
      <c r="R37" s="38"/>
      <c r="S37" s="38"/>
      <c r="T37" s="38"/>
      <c r="U37" s="38"/>
      <c r="V37" s="38"/>
      <c r="W37" s="38"/>
      <c r="X37" s="167"/>
      <c r="Y37" s="168"/>
    </row>
    <row r="38" spans="2:25" ht="17" thickBot="1" x14ac:dyDescent="0.25">
      <c r="B38" s="169"/>
      <c r="C38" s="450"/>
      <c r="D38" s="450"/>
      <c r="E38" s="450"/>
      <c r="F38" s="450"/>
      <c r="G38" s="170"/>
      <c r="H38" s="170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2"/>
    </row>
    <row r="39" spans="2:25" x14ac:dyDescent="0.2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</sheetData>
  <mergeCells count="32">
    <mergeCell ref="K37:O37"/>
    <mergeCell ref="K36:O36"/>
    <mergeCell ref="K35:O35"/>
    <mergeCell ref="C37:D37"/>
    <mergeCell ref="C38:D38"/>
    <mergeCell ref="E38:F38"/>
    <mergeCell ref="E33:I34"/>
    <mergeCell ref="C35:D35"/>
    <mergeCell ref="C36:D36"/>
    <mergeCell ref="B8:Y8"/>
    <mergeCell ref="B10:Y10"/>
    <mergeCell ref="B11:Y11"/>
    <mergeCell ref="B12:B13"/>
    <mergeCell ref="C12:C13"/>
    <mergeCell ref="D12:G12"/>
    <mergeCell ref="X12:X13"/>
    <mergeCell ref="Y12:Y13"/>
    <mergeCell ref="B9:Y9"/>
    <mergeCell ref="H12:K12"/>
    <mergeCell ref="T12:W12"/>
    <mergeCell ref="B31:C31"/>
    <mergeCell ref="B32:C32"/>
    <mergeCell ref="X32:Y32"/>
    <mergeCell ref="L12:O12"/>
    <mergeCell ref="P12:S12"/>
    <mergeCell ref="B30:C30"/>
    <mergeCell ref="B2:Y2"/>
    <mergeCell ref="B3:Y3"/>
    <mergeCell ref="B4:Y4"/>
    <mergeCell ref="B5:Y5"/>
    <mergeCell ref="B7:Y7"/>
    <mergeCell ref="B6:Y6"/>
  </mergeCells>
  <phoneticPr fontId="21" type="noConversion"/>
  <pageMargins left="0.25" right="0.25" top="0.75" bottom="0.75" header="0.3" footer="0.3"/>
  <pageSetup paperSize="9"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</vt:lpstr>
      <vt:lpstr>Memória de cálculo</vt:lpstr>
      <vt:lpstr>Cronograma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2018-01-31T15:30:36Z</cp:lastPrinted>
  <dcterms:created xsi:type="dcterms:W3CDTF">2006-09-16T00:00:00Z</dcterms:created>
  <dcterms:modified xsi:type="dcterms:W3CDTF">2018-01-31T19:00:25Z</dcterms:modified>
</cp:coreProperties>
</file>