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2135"/>
  </bookViews>
  <sheets>
    <sheet name="ORÇAMENTO" sheetId="1" r:id="rId1"/>
    <sheet name="MEMÓRIA DE CÁLCULO" sheetId="2" r:id="rId2"/>
    <sheet name="BDI (23,88%)" sheetId="9" r:id="rId3"/>
    <sheet name="CRONOGRAMA" sheetId="7" r:id="rId4"/>
    <sheet name="COMPOSIÇÃO" sheetId="8" r:id="rId5"/>
  </sheets>
  <definedNames>
    <definedName name="_xlnm._FilterDatabase" localSheetId="0" hidden="1">ORÇAMENTO!#REF!</definedName>
    <definedName name="BDI" localSheetId="2">('BDI (23,88%)'!$J$13/100)+1</definedName>
    <definedName name="BDI">ORÇAMENTO!$D$11/100</definedName>
    <definedName name="VALOR_TOTAL">ORÇAMENTO!$I$462</definedName>
  </definedNames>
  <calcPr calcId="152511"/>
</workbook>
</file>

<file path=xl/calcChain.xml><?xml version="1.0" encoding="utf-8"?>
<calcChain xmlns="http://schemas.openxmlformats.org/spreadsheetml/2006/main">
  <c r="N76" i="8" l="1"/>
  <c r="I453" i="1" l="1"/>
  <c r="D9" i="9"/>
  <c r="D9" i="7"/>
  <c r="D10" i="1"/>
  <c r="D9" i="8"/>
  <c r="D10" i="8"/>
  <c r="B9" i="2"/>
  <c r="D10" i="7" l="1"/>
  <c r="P17" i="7"/>
  <c r="P20" i="7"/>
  <c r="P23" i="7"/>
  <c r="P26" i="7"/>
  <c r="P29" i="7"/>
  <c r="P32" i="7"/>
  <c r="P35" i="7"/>
  <c r="P38" i="7"/>
  <c r="P41" i="7"/>
  <c r="P44" i="7"/>
  <c r="P47" i="7"/>
  <c r="P50" i="7"/>
  <c r="P53" i="7"/>
  <c r="P56" i="7"/>
  <c r="P59" i="7"/>
  <c r="P62" i="7"/>
  <c r="P65" i="7"/>
  <c r="P68" i="7"/>
  <c r="P71" i="7"/>
  <c r="P74" i="7"/>
  <c r="P77" i="7"/>
  <c r="P80" i="7"/>
  <c r="P83" i="7"/>
  <c r="P86" i="7"/>
  <c r="P14" i="7"/>
  <c r="B86" i="7"/>
  <c r="A74" i="7"/>
  <c r="A77" i="7" s="1"/>
  <c r="A80" i="7" s="1"/>
  <c r="A83" i="7" s="1"/>
  <c r="A86" i="7" s="1"/>
  <c r="B74" i="7"/>
  <c r="K301" i="1"/>
  <c r="K302" i="1"/>
  <c r="K303" i="1"/>
  <c r="K305" i="1"/>
  <c r="K306" i="1"/>
  <c r="K307" i="1"/>
  <c r="K309" i="1"/>
  <c r="K310" i="1"/>
  <c r="K311" i="1"/>
  <c r="K313" i="1"/>
  <c r="K314" i="1"/>
  <c r="K315" i="1"/>
  <c r="K24" i="1"/>
  <c r="K26" i="1"/>
  <c r="K29" i="1"/>
  <c r="K31" i="1"/>
  <c r="K37" i="1"/>
  <c r="K39" i="1"/>
  <c r="K52" i="1"/>
  <c r="K54" i="1"/>
  <c r="K68" i="1"/>
  <c r="K70" i="1"/>
  <c r="K139" i="1"/>
  <c r="K141" i="1"/>
  <c r="K142" i="1"/>
  <c r="K143" i="1"/>
  <c r="K147" i="1"/>
  <c r="K162" i="1"/>
  <c r="K166" i="1"/>
  <c r="K168" i="1"/>
  <c r="K170" i="1"/>
  <c r="K173" i="1"/>
  <c r="K180" i="1"/>
  <c r="K181" i="1"/>
  <c r="K186" i="1"/>
  <c r="K193" i="1"/>
  <c r="K196" i="1"/>
  <c r="K200" i="1"/>
  <c r="K210" i="1"/>
  <c r="K218" i="1"/>
  <c r="K219" i="1"/>
  <c r="K221" i="1"/>
  <c r="K225" i="1"/>
  <c r="K232" i="1"/>
  <c r="K234" i="1"/>
  <c r="K253" i="1"/>
  <c r="K262" i="1"/>
  <c r="K268" i="1"/>
  <c r="K271" i="1"/>
  <c r="K273" i="1"/>
  <c r="K276" i="1"/>
  <c r="K281" i="1"/>
  <c r="K285" i="1"/>
  <c r="L285" i="1" s="1"/>
  <c r="K297" i="1"/>
  <c r="K299" i="1"/>
  <c r="K316" i="1"/>
  <c r="K318" i="1"/>
  <c r="K322" i="1"/>
  <c r="K324" i="1"/>
  <c r="K328" i="1"/>
  <c r="K329" i="1"/>
  <c r="K330" i="1"/>
  <c r="K332" i="1"/>
  <c r="K334" i="1"/>
  <c r="K338" i="1"/>
  <c r="K340" i="1"/>
  <c r="K346" i="1"/>
  <c r="K348" i="1"/>
  <c r="K357" i="1"/>
  <c r="K359" i="1"/>
  <c r="K367" i="1"/>
  <c r="K369" i="1"/>
  <c r="K373" i="1"/>
  <c r="K375" i="1"/>
  <c r="K381" i="1"/>
  <c r="K383" i="1"/>
  <c r="K386" i="1"/>
  <c r="K388" i="1"/>
  <c r="K394" i="1"/>
  <c r="K396" i="1"/>
  <c r="K406" i="1"/>
  <c r="K408" i="1"/>
  <c r="K410" i="1"/>
  <c r="K412" i="1"/>
  <c r="K416" i="1"/>
  <c r="K418" i="1"/>
  <c r="K427" i="1"/>
  <c r="K429" i="1"/>
  <c r="K441" i="1"/>
  <c r="K443" i="1"/>
  <c r="J24" i="1"/>
  <c r="J26" i="1"/>
  <c r="J29" i="1"/>
  <c r="J31" i="1"/>
  <c r="J37" i="1"/>
  <c r="J39" i="1"/>
  <c r="J52" i="1"/>
  <c r="J54" i="1"/>
  <c r="J68" i="1"/>
  <c r="J70" i="1"/>
  <c r="J139" i="1"/>
  <c r="J141" i="1"/>
  <c r="J142" i="1"/>
  <c r="J143" i="1"/>
  <c r="J147" i="1"/>
  <c r="J162" i="1"/>
  <c r="J166" i="1"/>
  <c r="J168" i="1"/>
  <c r="J170" i="1"/>
  <c r="J173" i="1"/>
  <c r="J180" i="1"/>
  <c r="J181" i="1"/>
  <c r="J186" i="1"/>
  <c r="J193" i="1"/>
  <c r="J196" i="1"/>
  <c r="J200" i="1"/>
  <c r="J210" i="1"/>
  <c r="J218" i="1"/>
  <c r="J219" i="1"/>
  <c r="J221" i="1"/>
  <c r="J225" i="1"/>
  <c r="J232" i="1"/>
  <c r="J234" i="1"/>
  <c r="J253" i="1"/>
  <c r="J262" i="1"/>
  <c r="J268" i="1"/>
  <c r="J271" i="1"/>
  <c r="J273" i="1"/>
  <c r="J276" i="1"/>
  <c r="J281" i="1"/>
  <c r="J285" i="1"/>
  <c r="J289" i="1"/>
  <c r="J297" i="1"/>
  <c r="J299" i="1"/>
  <c r="J300" i="1"/>
  <c r="K300" i="1" s="1"/>
  <c r="J301" i="1"/>
  <c r="J302" i="1"/>
  <c r="J303" i="1"/>
  <c r="J304" i="1"/>
  <c r="K304" i="1" s="1"/>
  <c r="J305" i="1"/>
  <c r="J306" i="1"/>
  <c r="J307" i="1"/>
  <c r="J308" i="1"/>
  <c r="K308" i="1" s="1"/>
  <c r="J309" i="1"/>
  <c r="J310" i="1"/>
  <c r="J311" i="1"/>
  <c r="J312" i="1"/>
  <c r="K312" i="1" s="1"/>
  <c r="J313" i="1"/>
  <c r="J314" i="1"/>
  <c r="J315" i="1"/>
  <c r="J316" i="1"/>
  <c r="J318" i="1"/>
  <c r="J322" i="1"/>
  <c r="J324" i="1"/>
  <c r="J328" i="1"/>
  <c r="J329" i="1"/>
  <c r="J330" i="1"/>
  <c r="J332" i="1"/>
  <c r="J334" i="1"/>
  <c r="J338" i="1"/>
  <c r="J340" i="1"/>
  <c r="J346" i="1"/>
  <c r="J348" i="1"/>
  <c r="J357" i="1"/>
  <c r="J359" i="1"/>
  <c r="J367" i="1"/>
  <c r="J369" i="1"/>
  <c r="J373" i="1"/>
  <c r="J375" i="1"/>
  <c r="J381" i="1"/>
  <c r="J383" i="1"/>
  <c r="J386" i="1"/>
  <c r="J388" i="1"/>
  <c r="J394" i="1"/>
  <c r="J396" i="1"/>
  <c r="J406" i="1"/>
  <c r="J408" i="1"/>
  <c r="J410" i="1"/>
  <c r="J412" i="1"/>
  <c r="J416" i="1"/>
  <c r="J418" i="1"/>
  <c r="J427" i="1"/>
  <c r="J429" i="1"/>
  <c r="J441" i="1"/>
  <c r="J443" i="1"/>
  <c r="L162" i="1"/>
  <c r="F20" i="9"/>
  <c r="F18" i="9"/>
  <c r="D1102" i="2"/>
  <c r="E440" i="1" s="1"/>
  <c r="D440" i="1"/>
  <c r="A1099" i="2"/>
  <c r="A1096" i="2"/>
  <c r="D343" i="1"/>
  <c r="D1097" i="2"/>
  <c r="D1098" i="2" s="1"/>
  <c r="E439" i="1" s="1"/>
  <c r="I439" i="1" s="1"/>
  <c r="J439" i="1" s="1"/>
  <c r="K439" i="1" s="1"/>
  <c r="L439" i="1" s="1"/>
  <c r="D439" i="1"/>
  <c r="E296" i="1"/>
  <c r="I296" i="1" s="1"/>
  <c r="E295" i="1"/>
  <c r="K295" i="1" s="1"/>
  <c r="E283" i="1"/>
  <c r="K283" i="1" s="1"/>
  <c r="E284" i="1"/>
  <c r="K284" i="1" s="1"/>
  <c r="E286" i="1"/>
  <c r="J286" i="1" s="1"/>
  <c r="E287" i="1"/>
  <c r="K287" i="1" s="1"/>
  <c r="E288" i="1"/>
  <c r="E289" i="1"/>
  <c r="K289" i="1" s="1"/>
  <c r="E290" i="1"/>
  <c r="K290" i="1" s="1"/>
  <c r="E291" i="1"/>
  <c r="J291" i="1" s="1"/>
  <c r="E292" i="1"/>
  <c r="J292" i="1" s="1"/>
  <c r="E293" i="1"/>
  <c r="K293" i="1" s="1"/>
  <c r="E294" i="1"/>
  <c r="E282" i="1"/>
  <c r="D296" i="1"/>
  <c r="D291" i="1"/>
  <c r="D292" i="1"/>
  <c r="D293" i="1"/>
  <c r="D294" i="1"/>
  <c r="D295" i="1"/>
  <c r="D284" i="1"/>
  <c r="D285" i="1"/>
  <c r="D286" i="1"/>
  <c r="D287" i="1"/>
  <c r="D288" i="1"/>
  <c r="D289" i="1"/>
  <c r="D290" i="1"/>
  <c r="D283" i="1"/>
  <c r="K292" i="1" l="1"/>
  <c r="L292" i="1" s="1"/>
  <c r="K286" i="1"/>
  <c r="J296" i="1"/>
  <c r="K296" i="1" s="1"/>
  <c r="L296" i="1" s="1"/>
  <c r="J295" i="1"/>
  <c r="L295" i="1" s="1"/>
  <c r="J283" i="1"/>
  <c r="L283" i="1" s="1"/>
  <c r="J290" i="1"/>
  <c r="L290" i="1" s="1"/>
  <c r="K282" i="1"/>
  <c r="J282" i="1"/>
  <c r="J293" i="1"/>
  <c r="J294" i="1"/>
  <c r="K294" i="1"/>
  <c r="K288" i="1"/>
  <c r="J288" i="1"/>
  <c r="J284" i="1"/>
  <c r="K291" i="1"/>
  <c r="L291" i="1" s="1"/>
  <c r="K440" i="1"/>
  <c r="I440" i="1"/>
  <c r="J440" i="1"/>
  <c r="J287" i="1"/>
  <c r="L287" i="1" s="1"/>
  <c r="I283" i="1"/>
  <c r="I284" i="1"/>
  <c r="D982" i="2"/>
  <c r="E119" i="1"/>
  <c r="D10" i="9"/>
  <c r="C10" i="9"/>
  <c r="D8" i="9"/>
  <c r="D7" i="9"/>
  <c r="C7" i="9"/>
  <c r="D6" i="9"/>
  <c r="C6" i="9"/>
  <c r="D5" i="9"/>
  <c r="C5" i="9"/>
  <c r="D4" i="9"/>
  <c r="C4" i="9"/>
  <c r="D3" i="9"/>
  <c r="C3" i="9"/>
  <c r="C1" i="9"/>
  <c r="D85" i="2"/>
  <c r="A1148" i="2"/>
  <c r="A1143" i="2"/>
  <c r="A1139" i="2"/>
  <c r="A1136" i="2"/>
  <c r="A1133" i="2"/>
  <c r="A1130" i="2"/>
  <c r="A1105" i="2"/>
  <c r="B1131" i="2"/>
  <c r="B1134" i="2" s="1"/>
  <c r="B1137" i="2" s="1"/>
  <c r="B1140" i="2" s="1"/>
  <c r="B1148" i="2"/>
  <c r="B1143" i="2"/>
  <c r="B1139" i="2"/>
  <c r="B1136" i="2"/>
  <c r="B1133" i="2"/>
  <c r="B1130" i="2"/>
  <c r="B1121" i="2"/>
  <c r="B1117" i="2"/>
  <c r="B1113" i="2"/>
  <c r="D1116" i="2"/>
  <c r="D1118" i="2" s="1"/>
  <c r="D1120" i="2" s="1"/>
  <c r="D1122" i="2" s="1"/>
  <c r="D1125" i="2" s="1"/>
  <c r="E448" i="1" s="1"/>
  <c r="V85" i="8"/>
  <c r="P87" i="8"/>
  <c r="R87" i="8" s="1"/>
  <c r="P86" i="8"/>
  <c r="R86" i="8" s="1"/>
  <c r="L288" i="1" l="1"/>
  <c r="I448" i="1"/>
  <c r="J448" i="1"/>
  <c r="K448" i="1" s="1"/>
  <c r="L448" i="1" s="1"/>
  <c r="L440" i="1"/>
  <c r="I119" i="1"/>
  <c r="K119" i="1"/>
  <c r="J119" i="1"/>
  <c r="Q87" i="8"/>
  <c r="B1144" i="2"/>
  <c r="B1149" i="2" s="1"/>
  <c r="E446" i="1"/>
  <c r="E447" i="1"/>
  <c r="D1131" i="2"/>
  <c r="D1132" i="2" s="1"/>
  <c r="E450" i="1" s="1"/>
  <c r="D1134" i="2"/>
  <c r="S87" i="8"/>
  <c r="Q86" i="8"/>
  <c r="S86" i="8" s="1"/>
  <c r="I446" i="1" l="1"/>
  <c r="J446" i="1"/>
  <c r="K446" i="1" s="1"/>
  <c r="L446" i="1" s="1"/>
  <c r="I450" i="1"/>
  <c r="J450" i="1"/>
  <c r="K450" i="1" s="1"/>
  <c r="L450" i="1" s="1"/>
  <c r="I447" i="1"/>
  <c r="J447" i="1"/>
  <c r="K447" i="1" s="1"/>
  <c r="L447" i="1" s="1"/>
  <c r="D1135" i="2"/>
  <c r="E451" i="1" s="1"/>
  <c r="D1137" i="2"/>
  <c r="D1138" i="2" s="1"/>
  <c r="I451" i="1" l="1"/>
  <c r="J451" i="1"/>
  <c r="K451" i="1" s="1"/>
  <c r="L451" i="1" s="1"/>
  <c r="E452" i="1"/>
  <c r="D1140" i="2"/>
  <c r="D1142" i="2" s="1"/>
  <c r="E453" i="1" s="1"/>
  <c r="D1127" i="2"/>
  <c r="D1129" i="2" s="1"/>
  <c r="E449" i="1" s="1"/>
  <c r="D1149" i="2"/>
  <c r="D1151" i="2" s="1"/>
  <c r="E455" i="1" s="1"/>
  <c r="D1144" i="2"/>
  <c r="D1147" i="2" s="1"/>
  <c r="E454" i="1" s="1"/>
  <c r="I449" i="1" l="1"/>
  <c r="J449" i="1"/>
  <c r="K449" i="1" s="1"/>
  <c r="L449" i="1" s="1"/>
  <c r="I455" i="1"/>
  <c r="J455" i="1"/>
  <c r="K455" i="1" s="1"/>
  <c r="L455" i="1" s="1"/>
  <c r="J453" i="1"/>
  <c r="K453" i="1" s="1"/>
  <c r="L453" i="1" s="1"/>
  <c r="I452" i="1"/>
  <c r="J452" i="1"/>
  <c r="I454" i="1"/>
  <c r="J454" i="1"/>
  <c r="K454" i="1" s="1"/>
  <c r="L454" i="1" s="1"/>
  <c r="D806" i="2"/>
  <c r="D808" i="2" s="1"/>
  <c r="E380" i="1" s="1"/>
  <c r="D380" i="1"/>
  <c r="A805" i="2"/>
  <c r="E237" i="1"/>
  <c r="D573" i="2"/>
  <c r="D572" i="2" s="1"/>
  <c r="D570" i="2"/>
  <c r="D569" i="2" s="1"/>
  <c r="A576" i="2"/>
  <c r="B576" i="2"/>
  <c r="D466" i="2"/>
  <c r="E280" i="1" s="1"/>
  <c r="E231" i="1"/>
  <c r="A503" i="2"/>
  <c r="D280" i="1"/>
  <c r="D465" i="2"/>
  <c r="B417" i="2"/>
  <c r="D431" i="1"/>
  <c r="D252" i="2"/>
  <c r="D254" i="2" s="1"/>
  <c r="E67" i="1" s="1"/>
  <c r="D67" i="1"/>
  <c r="D57" i="1"/>
  <c r="I67" i="1" l="1"/>
  <c r="K67" i="1"/>
  <c r="J67" i="1"/>
  <c r="J231" i="1"/>
  <c r="K231" i="1"/>
  <c r="I237" i="1"/>
  <c r="J237" i="1"/>
  <c r="K237" i="1"/>
  <c r="K452" i="1"/>
  <c r="L452" i="1" s="1"/>
  <c r="I380" i="1"/>
  <c r="K380" i="1"/>
  <c r="J380" i="1"/>
  <c r="I280" i="1"/>
  <c r="J280" i="1"/>
  <c r="K280" i="1"/>
  <c r="D575" i="2"/>
  <c r="E343" i="1" s="1"/>
  <c r="D547" i="2"/>
  <c r="D138" i="1"/>
  <c r="D356" i="1"/>
  <c r="D355" i="1"/>
  <c r="D666" i="2"/>
  <c r="E356" i="1" s="1"/>
  <c r="J356" i="1" s="1"/>
  <c r="K356" i="1" s="1"/>
  <c r="L356" i="1" s="1"/>
  <c r="D663" i="2"/>
  <c r="E355" i="1" s="1"/>
  <c r="J355" i="1" s="1"/>
  <c r="E336" i="1"/>
  <c r="J336" i="1" s="1"/>
  <c r="K336" i="1" s="1"/>
  <c r="L336" i="1" s="1"/>
  <c r="E337" i="1"/>
  <c r="J337" i="1" s="1"/>
  <c r="K337" i="1" s="1"/>
  <c r="L337" i="1" s="1"/>
  <c r="E335" i="1"/>
  <c r="J335" i="1" s="1"/>
  <c r="K335" i="1" s="1"/>
  <c r="D336" i="1"/>
  <c r="D337" i="1"/>
  <c r="D335" i="1"/>
  <c r="I343" i="1" l="1"/>
  <c r="K343" i="1"/>
  <c r="J343" i="1"/>
  <c r="K355" i="1"/>
  <c r="L355" i="1" s="1"/>
  <c r="I356" i="1"/>
  <c r="I355" i="1"/>
  <c r="I337" i="1"/>
  <c r="I336" i="1"/>
  <c r="D203" i="2"/>
  <c r="D205" i="2" s="1"/>
  <c r="I300" i="1"/>
  <c r="I301" i="1"/>
  <c r="I302" i="1"/>
  <c r="I303" i="1"/>
  <c r="I304" i="1"/>
  <c r="I307" i="1"/>
  <c r="I308" i="1"/>
  <c r="I309" i="1"/>
  <c r="I310" i="1"/>
  <c r="I311" i="1"/>
  <c r="I312" i="1"/>
  <c r="I313" i="1"/>
  <c r="I314" i="1"/>
  <c r="I315" i="1"/>
  <c r="D485" i="2"/>
  <c r="D486" i="2"/>
  <c r="D487" i="2"/>
  <c r="D488" i="2"/>
  <c r="D489" i="2"/>
  <c r="D492" i="2"/>
  <c r="D493" i="2"/>
  <c r="D494" i="2"/>
  <c r="D495" i="2"/>
  <c r="D496" i="2"/>
  <c r="D497" i="2"/>
  <c r="D498" i="2"/>
  <c r="D499" i="2"/>
  <c r="D500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L343" i="1" l="1"/>
  <c r="I287" i="1"/>
  <c r="I292" i="1"/>
  <c r="I288" i="1"/>
  <c r="I294" i="1"/>
  <c r="I293" i="1"/>
  <c r="I286" i="1"/>
  <c r="I291" i="1"/>
  <c r="I290" i="1"/>
  <c r="I285" i="1"/>
  <c r="L310" i="1"/>
  <c r="L314" i="1"/>
  <c r="L312" i="1"/>
  <c r="L308" i="1"/>
  <c r="E306" i="1"/>
  <c r="E305" i="1"/>
  <c r="L311" i="1"/>
  <c r="L307" i="1"/>
  <c r="C903" i="2"/>
  <c r="C895" i="2"/>
  <c r="C237" i="2"/>
  <c r="C246" i="2" s="1"/>
  <c r="D119" i="2"/>
  <c r="C33" i="2"/>
  <c r="B33" i="2"/>
  <c r="A33" i="2"/>
  <c r="C45" i="2"/>
  <c r="C46" i="2" s="1"/>
  <c r="B45" i="2"/>
  <c r="A45" i="2"/>
  <c r="D47" i="2"/>
  <c r="E23" i="1" s="1"/>
  <c r="D1110" i="2"/>
  <c r="D1111" i="2"/>
  <c r="D1107" i="2"/>
  <c r="D1106" i="2"/>
  <c r="D1091" i="2"/>
  <c r="D1090" i="2"/>
  <c r="D1032" i="2"/>
  <c r="D720" i="2" s="1"/>
  <c r="D994" i="2" s="1"/>
  <c r="D1028" i="2"/>
  <c r="I23" i="1" l="1"/>
  <c r="J23" i="1"/>
  <c r="K23" i="1" s="1"/>
  <c r="L304" i="1"/>
  <c r="D490" i="2"/>
  <c r="I305" i="1"/>
  <c r="I306" i="1"/>
  <c r="D491" i="2"/>
  <c r="D1092" i="2"/>
  <c r="C245" i="2"/>
  <c r="L315" i="1"/>
  <c r="L313" i="1"/>
  <c r="L309" i="1"/>
  <c r="D1112" i="2"/>
  <c r="L306" i="1" l="1"/>
  <c r="I289" i="1"/>
  <c r="I295" i="1"/>
  <c r="I316" i="1"/>
  <c r="C35" i="7" s="1"/>
  <c r="C37" i="7" s="1"/>
  <c r="L305" i="1"/>
  <c r="D995" i="2"/>
  <c r="E421" i="1" s="1"/>
  <c r="D962" i="2"/>
  <c r="D957" i="2"/>
  <c r="D402" i="1"/>
  <c r="D401" i="1"/>
  <c r="D400" i="1"/>
  <c r="D943" i="2"/>
  <c r="E402" i="1" s="1"/>
  <c r="D932" i="2"/>
  <c r="E400" i="1" s="1"/>
  <c r="D937" i="2"/>
  <c r="E401" i="1" s="1"/>
  <c r="D926" i="2"/>
  <c r="D903" i="2"/>
  <c r="H37" i="7" l="1"/>
  <c r="N37" i="7"/>
  <c r="K37" i="7"/>
  <c r="M37" i="7"/>
  <c r="J37" i="7"/>
  <c r="L37" i="7"/>
  <c r="O37" i="7"/>
  <c r="I402" i="1"/>
  <c r="J402" i="1"/>
  <c r="I421" i="1"/>
  <c r="K421" i="1"/>
  <c r="J421" i="1"/>
  <c r="I401" i="1"/>
  <c r="J401" i="1"/>
  <c r="K401" i="1" s="1"/>
  <c r="L401" i="1" s="1"/>
  <c r="I400" i="1"/>
  <c r="J400" i="1"/>
  <c r="K400" i="1" s="1"/>
  <c r="L400" i="1" s="1"/>
  <c r="D886" i="2"/>
  <c r="D885" i="2"/>
  <c r="D884" i="2"/>
  <c r="D703" i="2"/>
  <c r="D656" i="2"/>
  <c r="D640" i="2"/>
  <c r="D610" i="2"/>
  <c r="D604" i="2"/>
  <c r="D506" i="2"/>
  <c r="D320" i="1"/>
  <c r="D464" i="2"/>
  <c r="D429" i="2"/>
  <c r="D428" i="2"/>
  <c r="D427" i="2"/>
  <c r="D426" i="2"/>
  <c r="D419" i="2"/>
  <c r="D347" i="2"/>
  <c r="D341" i="2"/>
  <c r="E157" i="1"/>
  <c r="D337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258" i="2"/>
  <c r="E138" i="1"/>
  <c r="E72" i="1"/>
  <c r="E73" i="1"/>
  <c r="E74" i="1"/>
  <c r="E75" i="1"/>
  <c r="E76" i="1"/>
  <c r="E77" i="1"/>
  <c r="E78" i="1"/>
  <c r="E79" i="1"/>
  <c r="E80" i="1"/>
  <c r="E81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9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71" i="1"/>
  <c r="D126" i="1"/>
  <c r="D295" i="2"/>
  <c r="E108" i="1" s="1"/>
  <c r="D294" i="2"/>
  <c r="E107" i="1" s="1"/>
  <c r="D286" i="2"/>
  <c r="E99" i="1" s="1"/>
  <c r="D276" i="2"/>
  <c r="E89" i="1" s="1"/>
  <c r="D275" i="2"/>
  <c r="E88" i="1" s="1"/>
  <c r="D274" i="2"/>
  <c r="E87" i="1" s="1"/>
  <c r="D273" i="2"/>
  <c r="E86" i="1" s="1"/>
  <c r="D272" i="2"/>
  <c r="E85" i="1" s="1"/>
  <c r="D271" i="2"/>
  <c r="E84" i="1" s="1"/>
  <c r="D270" i="2"/>
  <c r="E83" i="1" s="1"/>
  <c r="D269" i="2"/>
  <c r="E82" i="1" s="1"/>
  <c r="D101" i="1"/>
  <c r="D888" i="2" l="1"/>
  <c r="I107" i="1"/>
  <c r="K107" i="1"/>
  <c r="J107" i="1"/>
  <c r="I135" i="1"/>
  <c r="K135" i="1"/>
  <c r="J135" i="1"/>
  <c r="I116" i="1"/>
  <c r="K116" i="1"/>
  <c r="J116" i="1"/>
  <c r="I102" i="1"/>
  <c r="K102" i="1"/>
  <c r="J102" i="1"/>
  <c r="I95" i="1"/>
  <c r="K95" i="1"/>
  <c r="J95" i="1"/>
  <c r="I75" i="1"/>
  <c r="K75" i="1"/>
  <c r="J75" i="1"/>
  <c r="I108" i="1"/>
  <c r="K108" i="1"/>
  <c r="J108" i="1"/>
  <c r="I109" i="1"/>
  <c r="K109" i="1"/>
  <c r="J109" i="1"/>
  <c r="I127" i="1"/>
  <c r="K127" i="1"/>
  <c r="J127" i="1"/>
  <c r="I114" i="1"/>
  <c r="J114" i="1"/>
  <c r="K114" i="1"/>
  <c r="I106" i="1"/>
  <c r="K106" i="1"/>
  <c r="J106" i="1"/>
  <c r="I100" i="1"/>
  <c r="K100" i="1"/>
  <c r="J100" i="1"/>
  <c r="I93" i="1"/>
  <c r="K93" i="1"/>
  <c r="J93" i="1"/>
  <c r="I79" i="1"/>
  <c r="K79" i="1"/>
  <c r="J79" i="1"/>
  <c r="I73" i="1"/>
  <c r="K73" i="1"/>
  <c r="J73" i="1"/>
  <c r="I157" i="1"/>
  <c r="K157" i="1"/>
  <c r="J157" i="1"/>
  <c r="K85" i="1"/>
  <c r="J85" i="1"/>
  <c r="I110" i="1"/>
  <c r="K110" i="1"/>
  <c r="J110" i="1"/>
  <c r="J86" i="1"/>
  <c r="K86" i="1"/>
  <c r="I122" i="1"/>
  <c r="J122" i="1"/>
  <c r="K122" i="1"/>
  <c r="K87" i="1"/>
  <c r="J87" i="1"/>
  <c r="I133" i="1"/>
  <c r="J133" i="1"/>
  <c r="K133" i="1"/>
  <c r="K82" i="1"/>
  <c r="J82" i="1"/>
  <c r="I132" i="1"/>
  <c r="K132" i="1"/>
  <c r="J132" i="1"/>
  <c r="I120" i="1"/>
  <c r="K120" i="1"/>
  <c r="J120" i="1"/>
  <c r="I105" i="1"/>
  <c r="K105" i="1"/>
  <c r="J105" i="1"/>
  <c r="I98" i="1"/>
  <c r="K98" i="1"/>
  <c r="J98" i="1"/>
  <c r="I92" i="1"/>
  <c r="K92" i="1"/>
  <c r="J92" i="1"/>
  <c r="I78" i="1"/>
  <c r="J78" i="1"/>
  <c r="K78" i="1"/>
  <c r="I72" i="1"/>
  <c r="K72" i="1"/>
  <c r="J72" i="1"/>
  <c r="I123" i="1"/>
  <c r="K123" i="1"/>
  <c r="J123" i="1"/>
  <c r="I81" i="1"/>
  <c r="J81" i="1"/>
  <c r="K81" i="1"/>
  <c r="I134" i="1"/>
  <c r="K134" i="1"/>
  <c r="J134" i="1"/>
  <c r="I115" i="1"/>
  <c r="K115" i="1"/>
  <c r="J115" i="1"/>
  <c r="I101" i="1"/>
  <c r="K101" i="1"/>
  <c r="J101" i="1"/>
  <c r="I80" i="1"/>
  <c r="K80" i="1"/>
  <c r="J80" i="1"/>
  <c r="I74" i="1"/>
  <c r="K74" i="1"/>
  <c r="J74" i="1"/>
  <c r="I121" i="1"/>
  <c r="K121" i="1"/>
  <c r="J121" i="1"/>
  <c r="K88" i="1"/>
  <c r="J88" i="1"/>
  <c r="I71" i="1"/>
  <c r="K71" i="1"/>
  <c r="J71" i="1"/>
  <c r="I126" i="1"/>
  <c r="K126" i="1"/>
  <c r="J126" i="1"/>
  <c r="I113" i="1"/>
  <c r="K113" i="1"/>
  <c r="J113" i="1"/>
  <c r="K83" i="1"/>
  <c r="J83" i="1"/>
  <c r="K89" i="1"/>
  <c r="J89" i="1"/>
  <c r="I137" i="1"/>
  <c r="K137" i="1"/>
  <c r="J137" i="1"/>
  <c r="I131" i="1"/>
  <c r="J131" i="1"/>
  <c r="K131" i="1"/>
  <c r="I125" i="1"/>
  <c r="K125" i="1"/>
  <c r="J125" i="1"/>
  <c r="I118" i="1"/>
  <c r="K118" i="1"/>
  <c r="J118" i="1"/>
  <c r="I112" i="1"/>
  <c r="K112" i="1"/>
  <c r="J112" i="1"/>
  <c r="I104" i="1"/>
  <c r="J104" i="1"/>
  <c r="K104" i="1"/>
  <c r="I97" i="1"/>
  <c r="K97" i="1"/>
  <c r="J97" i="1"/>
  <c r="I91" i="1"/>
  <c r="K91" i="1"/>
  <c r="J91" i="1"/>
  <c r="I77" i="1"/>
  <c r="K77" i="1"/>
  <c r="J77" i="1"/>
  <c r="J138" i="1"/>
  <c r="K138" i="1"/>
  <c r="K402" i="1"/>
  <c r="L402" i="1" s="1"/>
  <c r="I129" i="1"/>
  <c r="K129" i="1"/>
  <c r="J129" i="1"/>
  <c r="I128" i="1"/>
  <c r="K128" i="1"/>
  <c r="J128" i="1"/>
  <c r="I94" i="1"/>
  <c r="K94" i="1"/>
  <c r="J94" i="1"/>
  <c r="K84" i="1"/>
  <c r="J84" i="1"/>
  <c r="I99" i="1"/>
  <c r="J99" i="1"/>
  <c r="K99" i="1"/>
  <c r="I136" i="1"/>
  <c r="K136" i="1"/>
  <c r="J136" i="1"/>
  <c r="I130" i="1"/>
  <c r="K130" i="1"/>
  <c r="J130" i="1"/>
  <c r="I124" i="1"/>
  <c r="K124" i="1"/>
  <c r="J124" i="1"/>
  <c r="I117" i="1"/>
  <c r="J117" i="1"/>
  <c r="K117" i="1"/>
  <c r="I111" i="1"/>
  <c r="K111" i="1"/>
  <c r="J111" i="1"/>
  <c r="I103" i="1"/>
  <c r="K103" i="1"/>
  <c r="J103" i="1"/>
  <c r="I96" i="1"/>
  <c r="K96" i="1"/>
  <c r="J96" i="1"/>
  <c r="I90" i="1"/>
  <c r="J90" i="1"/>
  <c r="K90" i="1"/>
  <c r="I76" i="1"/>
  <c r="K76" i="1"/>
  <c r="J76" i="1"/>
  <c r="I138" i="1"/>
  <c r="I89" i="1"/>
  <c r="I88" i="1"/>
  <c r="I87" i="1"/>
  <c r="I86" i="1"/>
  <c r="I85" i="1"/>
  <c r="I84" i="1"/>
  <c r="I83" i="1"/>
  <c r="I82" i="1"/>
  <c r="I139" i="1" l="1"/>
  <c r="C29" i="7" s="1"/>
  <c r="C31" i="7" s="1"/>
  <c r="D236" i="2"/>
  <c r="D229" i="2"/>
  <c r="D221" i="2"/>
  <c r="D212" i="2"/>
  <c r="D199" i="2"/>
  <c r="D164" i="2"/>
  <c r="D152" i="2"/>
  <c r="D133" i="2"/>
  <c r="D136" i="2" s="1"/>
  <c r="D126" i="2"/>
  <c r="D128" i="2"/>
  <c r="D131" i="2" s="1"/>
  <c r="D121" i="2"/>
  <c r="D114" i="2"/>
  <c r="D106" i="2"/>
  <c r="D98" i="2"/>
  <c r="D94" i="2"/>
  <c r="D89" i="2"/>
  <c r="D87" i="2"/>
  <c r="B43" i="2"/>
  <c r="B56" i="2" s="1"/>
  <c r="A41" i="2"/>
  <c r="A37" i="2"/>
  <c r="A29" i="2"/>
  <c r="A23" i="2"/>
  <c r="N31" i="7" l="1"/>
  <c r="K31" i="7"/>
  <c r="O31" i="7"/>
  <c r="L31" i="7"/>
  <c r="J31" i="7"/>
  <c r="M31" i="7"/>
  <c r="D99" i="2"/>
  <c r="D92" i="2"/>
  <c r="D109" i="2" s="1"/>
  <c r="D113" i="2" s="1"/>
  <c r="D115" i="2" s="1"/>
  <c r="D69" i="2"/>
  <c r="D71" i="2" s="1"/>
  <c r="D66" i="2"/>
  <c r="D67" i="2" s="1"/>
  <c r="B1012" i="2"/>
  <c r="D1009" i="2"/>
  <c r="D1007" i="2"/>
  <c r="D1005" i="2"/>
  <c r="D1004" i="2"/>
  <c r="D1003" i="2"/>
  <c r="D252" i="1"/>
  <c r="E252" i="1"/>
  <c r="D238" i="1"/>
  <c r="E238" i="1"/>
  <c r="D239" i="1"/>
  <c r="E239" i="1"/>
  <c r="E152" i="1"/>
  <c r="E263" i="1"/>
  <c r="D263" i="1"/>
  <c r="D249" i="1"/>
  <c r="E249" i="1"/>
  <c r="D772" i="2"/>
  <c r="D734" i="2"/>
  <c r="D275" i="1"/>
  <c r="E275" i="1"/>
  <c r="D271" i="1"/>
  <c r="D272" i="1"/>
  <c r="E272" i="1"/>
  <c r="D265" i="1"/>
  <c r="E265" i="1"/>
  <c r="D264" i="1"/>
  <c r="E264" i="1"/>
  <c r="D267" i="1"/>
  <c r="E267" i="1"/>
  <c r="D257" i="1"/>
  <c r="E257" i="1"/>
  <c r="D258" i="1"/>
  <c r="E258" i="1"/>
  <c r="D229" i="1"/>
  <c r="E229" i="1"/>
  <c r="D230" i="1"/>
  <c r="E230" i="1"/>
  <c r="E226" i="1"/>
  <c r="D226" i="1"/>
  <c r="D228" i="1"/>
  <c r="E228" i="1"/>
  <c r="E227" i="1"/>
  <c r="D225" i="1"/>
  <c r="D227" i="1"/>
  <c r="E220" i="1"/>
  <c r="D219" i="1"/>
  <c r="D220" i="1"/>
  <c r="E155" i="1"/>
  <c r="D156" i="1"/>
  <c r="E156" i="1"/>
  <c r="D155" i="1"/>
  <c r="D152" i="1"/>
  <c r="E224" i="1"/>
  <c r="D224" i="1"/>
  <c r="E222" i="1"/>
  <c r="E223" i="1"/>
  <c r="D223" i="1"/>
  <c r="D222" i="1"/>
  <c r="D160" i="2"/>
  <c r="D159" i="2"/>
  <c r="D158" i="2"/>
  <c r="D157" i="2"/>
  <c r="D156" i="2"/>
  <c r="D154" i="2"/>
  <c r="D153" i="2"/>
  <c r="D151" i="2"/>
  <c r="D150" i="2"/>
  <c r="D149" i="2"/>
  <c r="D148" i="2"/>
  <c r="D147" i="2"/>
  <c r="D146" i="2"/>
  <c r="D145" i="2"/>
  <c r="B163" i="2"/>
  <c r="B100" i="2"/>
  <c r="A100" i="2"/>
  <c r="E59" i="1"/>
  <c r="B200" i="2"/>
  <c r="A200" i="2"/>
  <c r="D107" i="2"/>
  <c r="D187" i="2"/>
  <c r="D186" i="2"/>
  <c r="D185" i="2"/>
  <c r="D184" i="2"/>
  <c r="D181" i="2"/>
  <c r="D177" i="2"/>
  <c r="D180" i="2"/>
  <c r="D179" i="2"/>
  <c r="D178" i="2"/>
  <c r="D174" i="2"/>
  <c r="D173" i="2"/>
  <c r="D170" i="2"/>
  <c r="D172" i="2"/>
  <c r="D171" i="2"/>
  <c r="B230" i="2"/>
  <c r="B222" i="2"/>
  <c r="A230" i="2"/>
  <c r="A222" i="2"/>
  <c r="A248" i="2"/>
  <c r="A245" i="2"/>
  <c r="A237" i="2"/>
  <c r="D138" i="2"/>
  <c r="D140" i="2" s="1"/>
  <c r="E51" i="1" s="1"/>
  <c r="B137" i="2"/>
  <c r="A137" i="2"/>
  <c r="B122" i="2"/>
  <c r="A122" i="2"/>
  <c r="K155" i="1" l="1"/>
  <c r="J155" i="1"/>
  <c r="I227" i="1"/>
  <c r="K227" i="1"/>
  <c r="J227" i="1"/>
  <c r="J152" i="1"/>
  <c r="K152" i="1"/>
  <c r="K51" i="1"/>
  <c r="J51" i="1"/>
  <c r="I224" i="1"/>
  <c r="K224" i="1"/>
  <c r="J224" i="1"/>
  <c r="I228" i="1"/>
  <c r="J228" i="1"/>
  <c r="K228" i="1"/>
  <c r="I229" i="1"/>
  <c r="K229" i="1"/>
  <c r="J229" i="1"/>
  <c r="I267" i="1"/>
  <c r="J267" i="1"/>
  <c r="K267" i="1"/>
  <c r="I272" i="1"/>
  <c r="K272" i="1"/>
  <c r="J272" i="1"/>
  <c r="I239" i="1"/>
  <c r="K239" i="1"/>
  <c r="J239" i="1"/>
  <c r="K59" i="1"/>
  <c r="J59" i="1"/>
  <c r="I249" i="1"/>
  <c r="J249" i="1"/>
  <c r="K249" i="1"/>
  <c r="K220" i="1"/>
  <c r="J220" i="1"/>
  <c r="I258" i="1"/>
  <c r="J258" i="1"/>
  <c r="K258" i="1"/>
  <c r="J264" i="1"/>
  <c r="K264" i="1"/>
  <c r="I238" i="1"/>
  <c r="J238" i="1"/>
  <c r="K238" i="1"/>
  <c r="I223" i="1"/>
  <c r="K223" i="1"/>
  <c r="J223" i="1"/>
  <c r="I156" i="1"/>
  <c r="K156" i="1"/>
  <c r="J156" i="1"/>
  <c r="I226" i="1"/>
  <c r="K226" i="1"/>
  <c r="J226" i="1"/>
  <c r="I275" i="1"/>
  <c r="K275" i="1"/>
  <c r="J275" i="1"/>
  <c r="I222" i="1"/>
  <c r="J222" i="1"/>
  <c r="K222" i="1"/>
  <c r="K230" i="1"/>
  <c r="J230" i="1"/>
  <c r="K257" i="1"/>
  <c r="L257" i="1" s="1"/>
  <c r="J257" i="1"/>
  <c r="J265" i="1"/>
  <c r="K265" i="1"/>
  <c r="L265" i="1" s="1"/>
  <c r="I263" i="1"/>
  <c r="K263" i="1"/>
  <c r="J263" i="1"/>
  <c r="K252" i="1"/>
  <c r="J252" i="1"/>
  <c r="D111" i="2"/>
  <c r="D1011" i="2"/>
  <c r="D1013" i="2" s="1"/>
  <c r="D1014" i="2" s="1"/>
  <c r="E425" i="1" s="1"/>
  <c r="I252" i="1"/>
  <c r="D101" i="2"/>
  <c r="D103" i="2" s="1"/>
  <c r="E43" i="1" s="1"/>
  <c r="I265" i="1"/>
  <c r="I264" i="1"/>
  <c r="L264" i="1"/>
  <c r="I257" i="1"/>
  <c r="D162" i="2"/>
  <c r="L231" i="1"/>
  <c r="I231" i="1"/>
  <c r="I230" i="1"/>
  <c r="I220" i="1"/>
  <c r="I155" i="1"/>
  <c r="I152" i="1"/>
  <c r="D188" i="2"/>
  <c r="E62" i="1"/>
  <c r="I59" i="1"/>
  <c r="E63" i="1"/>
  <c r="I51" i="1"/>
  <c r="E49" i="1"/>
  <c r="E48" i="1"/>
  <c r="B524" i="2"/>
  <c r="A524" i="2"/>
  <c r="B529" i="2"/>
  <c r="A529" i="2"/>
  <c r="B546" i="2"/>
  <c r="A546" i="2"/>
  <c r="B996" i="2"/>
  <c r="B1015" i="2"/>
  <c r="B1002" i="2"/>
  <c r="B999" i="2"/>
  <c r="B988" i="2"/>
  <c r="B985" i="2"/>
  <c r="D967" i="2"/>
  <c r="D961" i="2"/>
  <c r="D966" i="2"/>
  <c r="D960" i="2"/>
  <c r="D965" i="2"/>
  <c r="D959" i="2"/>
  <c r="D964" i="2"/>
  <c r="D958" i="2"/>
  <c r="D963" i="2"/>
  <c r="D956" i="2"/>
  <c r="C955" i="2"/>
  <c r="B955" i="2"/>
  <c r="B953" i="2"/>
  <c r="A1024" i="2"/>
  <c r="A983" i="2"/>
  <c r="A969" i="2"/>
  <c r="A953" i="2"/>
  <c r="E415" i="1"/>
  <c r="B979" i="2"/>
  <c r="B975" i="2"/>
  <c r="B971" i="2"/>
  <c r="A979" i="2"/>
  <c r="A975" i="2"/>
  <c r="A971" i="2"/>
  <c r="D978" i="2"/>
  <c r="E414" i="1" s="1"/>
  <c r="D584" i="2"/>
  <c r="D585" i="2"/>
  <c r="D586" i="2"/>
  <c r="D583" i="2"/>
  <c r="D577" i="2"/>
  <c r="D566" i="2"/>
  <c r="D567" i="2" s="1"/>
  <c r="D544" i="2"/>
  <c r="D545" i="2" s="1"/>
  <c r="D520" i="2"/>
  <c r="D521" i="2" s="1"/>
  <c r="E321" i="1" s="1"/>
  <c r="B519" i="2"/>
  <c r="A519" i="2"/>
  <c r="C519" i="2"/>
  <c r="C520" i="2" s="1"/>
  <c r="D19" i="2"/>
  <c r="D52" i="2" s="1"/>
  <c r="D53" i="2" s="1"/>
  <c r="D919" i="2"/>
  <c r="D517" i="2"/>
  <c r="D516" i="2"/>
  <c r="D515" i="2"/>
  <c r="D514" i="2"/>
  <c r="D684" i="2"/>
  <c r="D683" i="2"/>
  <c r="D768" i="2"/>
  <c r="D803" i="2"/>
  <c r="D802" i="2"/>
  <c r="D767" i="2"/>
  <c r="D801" i="2"/>
  <c r="D800" i="2"/>
  <c r="D766" i="2"/>
  <c r="D765" i="2"/>
  <c r="D799" i="2"/>
  <c r="D764" i="2"/>
  <c r="D798" i="2"/>
  <c r="D763" i="2"/>
  <c r="D797" i="2"/>
  <c r="D762" i="2"/>
  <c r="D796" i="2"/>
  <c r="D795" i="2"/>
  <c r="D761" i="2"/>
  <c r="D760" i="2"/>
  <c r="D794" i="2"/>
  <c r="D759" i="2"/>
  <c r="D793" i="2"/>
  <c r="D758" i="2"/>
  <c r="D792" i="2"/>
  <c r="D757" i="2"/>
  <c r="D791" i="2"/>
  <c r="D756" i="2"/>
  <c r="D790" i="2"/>
  <c r="D789" i="2"/>
  <c r="D788" i="2"/>
  <c r="D755" i="2"/>
  <c r="D754" i="2"/>
  <c r="D753" i="2"/>
  <c r="D752" i="2"/>
  <c r="D787" i="2"/>
  <c r="D751" i="2"/>
  <c r="D786" i="2"/>
  <c r="D750" i="2"/>
  <c r="D785" i="2"/>
  <c r="D749" i="2"/>
  <c r="D784" i="2"/>
  <c r="D748" i="2"/>
  <c r="D783" i="2"/>
  <c r="D747" i="2"/>
  <c r="D782" i="2"/>
  <c r="D746" i="2"/>
  <c r="D781" i="2"/>
  <c r="D745" i="2"/>
  <c r="D780" i="2"/>
  <c r="D744" i="2"/>
  <c r="D779" i="2"/>
  <c r="D743" i="2"/>
  <c r="D778" i="2"/>
  <c r="D742" i="2"/>
  <c r="D777" i="2"/>
  <c r="D741" i="2"/>
  <c r="D776" i="2"/>
  <c r="D740" i="2"/>
  <c r="D775" i="2"/>
  <c r="D739" i="2"/>
  <c r="D774" i="2"/>
  <c r="D738" i="2"/>
  <c r="D737" i="2"/>
  <c r="D736" i="2"/>
  <c r="D773" i="2"/>
  <c r="D735" i="2"/>
  <c r="D771" i="2"/>
  <c r="D733" i="2"/>
  <c r="D770" i="2"/>
  <c r="D732" i="2"/>
  <c r="D507" i="2"/>
  <c r="D510" i="2"/>
  <c r="D509" i="2"/>
  <c r="D505" i="2"/>
  <c r="D508" i="2"/>
  <c r="D504" i="2"/>
  <c r="A988" i="2"/>
  <c r="A985" i="2"/>
  <c r="B1105" i="2"/>
  <c r="B1109" i="2"/>
  <c r="B1103" i="2"/>
  <c r="A1103" i="2"/>
  <c r="D899" i="2"/>
  <c r="D900" i="2" s="1"/>
  <c r="D892" i="2"/>
  <c r="D893" i="2" s="1"/>
  <c r="C1093" i="2"/>
  <c r="B1093" i="2"/>
  <c r="B897" i="2"/>
  <c r="L152" i="1" l="1"/>
  <c r="L51" i="1"/>
  <c r="L220" i="1"/>
  <c r="L230" i="1"/>
  <c r="I415" i="1"/>
  <c r="J415" i="1"/>
  <c r="K415" i="1"/>
  <c r="K48" i="1"/>
  <c r="J48" i="1"/>
  <c r="K62" i="1"/>
  <c r="J62" i="1"/>
  <c r="I43" i="1"/>
  <c r="K43" i="1"/>
  <c r="J43" i="1"/>
  <c r="K49" i="1"/>
  <c r="J49" i="1"/>
  <c r="I425" i="1"/>
  <c r="K425" i="1"/>
  <c r="J425" i="1"/>
  <c r="K321" i="1"/>
  <c r="J321" i="1"/>
  <c r="I63" i="1"/>
  <c r="K63" i="1"/>
  <c r="J63" i="1"/>
  <c r="K414" i="1"/>
  <c r="J414" i="1"/>
  <c r="D74" i="2"/>
  <c r="D990" i="2"/>
  <c r="D968" i="2"/>
  <c r="E409" i="1" s="1"/>
  <c r="D587" i="2"/>
  <c r="D581" i="2"/>
  <c r="E344" i="1" s="1"/>
  <c r="D518" i="2"/>
  <c r="D512" i="2"/>
  <c r="D719" i="2" s="1"/>
  <c r="D722" i="2" s="1"/>
  <c r="L239" i="1"/>
  <c r="L252" i="1"/>
  <c r="L238" i="1"/>
  <c r="L263" i="1"/>
  <c r="D804" i="2"/>
  <c r="L249" i="1"/>
  <c r="L275" i="1"/>
  <c r="L272" i="1"/>
  <c r="L267" i="1"/>
  <c r="L258" i="1"/>
  <c r="L228" i="1"/>
  <c r="L229" i="1"/>
  <c r="L226" i="1"/>
  <c r="L227" i="1"/>
  <c r="L156" i="1"/>
  <c r="L155" i="1"/>
  <c r="L224" i="1"/>
  <c r="L223" i="1"/>
  <c r="L222" i="1"/>
  <c r="L59" i="1"/>
  <c r="L410" i="1"/>
  <c r="L408" i="1"/>
  <c r="I62" i="1"/>
  <c r="D986" i="2"/>
  <c r="D989" i="2" s="1"/>
  <c r="I48" i="1"/>
  <c r="I321" i="1"/>
  <c r="D875" i="2"/>
  <c r="D895" i="2" s="1"/>
  <c r="D896" i="2" s="1"/>
  <c r="D1108" i="2"/>
  <c r="E444" i="1" s="1"/>
  <c r="J444" i="1" s="1"/>
  <c r="L443" i="1"/>
  <c r="E445" i="1"/>
  <c r="J445" i="1" s="1"/>
  <c r="K445" i="1" s="1"/>
  <c r="D1065" i="2"/>
  <c r="D1088" i="2"/>
  <c r="A1089" i="2"/>
  <c r="B1066" i="2"/>
  <c r="A1066" i="2"/>
  <c r="L321" i="1" l="1"/>
  <c r="L48" i="1"/>
  <c r="K344" i="1"/>
  <c r="J344" i="1"/>
  <c r="K409" i="1"/>
  <c r="J409" i="1"/>
  <c r="I445" i="1"/>
  <c r="L425" i="1"/>
  <c r="L43" i="1"/>
  <c r="L62" i="1"/>
  <c r="L63" i="1"/>
  <c r="D987" i="2"/>
  <c r="D728" i="2"/>
  <c r="D991" i="2"/>
  <c r="D992" i="2" s="1"/>
  <c r="I409" i="1"/>
  <c r="I410" i="1" s="1"/>
  <c r="C74" i="7" s="1"/>
  <c r="C76" i="7" s="1"/>
  <c r="L76" i="7" s="1"/>
  <c r="L415" i="1"/>
  <c r="D724" i="2"/>
  <c r="I444" i="1"/>
  <c r="B1026" i="2"/>
  <c r="A1026" i="2"/>
  <c r="D1036" i="2"/>
  <c r="L409" i="1" l="1"/>
  <c r="I456" i="1"/>
  <c r="C86" i="7" s="1"/>
  <c r="C88" i="7" s="1"/>
  <c r="N88" i="7" s="1"/>
  <c r="K444" i="1"/>
  <c r="L444" i="1" s="1"/>
  <c r="L445" i="1"/>
  <c r="D1000" i="2"/>
  <c r="D997" i="2"/>
  <c r="D998" i="2" s="1"/>
  <c r="E422" i="1" s="1"/>
  <c r="E430" i="1"/>
  <c r="D704" i="2"/>
  <c r="B702" i="2"/>
  <c r="A702" i="2"/>
  <c r="D700" i="2"/>
  <c r="D699" i="2"/>
  <c r="D698" i="2"/>
  <c r="D697" i="2"/>
  <c r="B696" i="2"/>
  <c r="A696" i="2"/>
  <c r="C713" i="2"/>
  <c r="C714" i="2" s="1"/>
  <c r="C710" i="2"/>
  <c r="A713" i="2"/>
  <c r="A710" i="2"/>
  <c r="D715" i="2"/>
  <c r="E372" i="1" s="1"/>
  <c r="D712" i="2"/>
  <c r="E371" i="1" s="1"/>
  <c r="D372" i="1"/>
  <c r="B713" i="2" s="1"/>
  <c r="C372" i="1"/>
  <c r="D371" i="1"/>
  <c r="B710" i="2" s="1"/>
  <c r="C371" i="1"/>
  <c r="D364" i="1"/>
  <c r="B693" i="2" s="1"/>
  <c r="F53" i="8"/>
  <c r="I53" i="8" s="1"/>
  <c r="F52" i="8"/>
  <c r="I52" i="8" s="1"/>
  <c r="I55" i="8"/>
  <c r="I54" i="8"/>
  <c r="I49" i="8"/>
  <c r="I50" i="8" s="1"/>
  <c r="I37" i="8"/>
  <c r="F40" i="8"/>
  <c r="I40" i="8" s="1"/>
  <c r="F41" i="8"/>
  <c r="I41" i="8" s="1"/>
  <c r="I42" i="8"/>
  <c r="I43" i="8"/>
  <c r="D6" i="8"/>
  <c r="D7" i="8"/>
  <c r="D8" i="8"/>
  <c r="D11" i="8"/>
  <c r="C10" i="8"/>
  <c r="C11" i="8"/>
  <c r="D4" i="8"/>
  <c r="N71" i="8" s="1"/>
  <c r="D5" i="8"/>
  <c r="D3" i="8"/>
  <c r="C4" i="8"/>
  <c r="C5" i="8"/>
  <c r="C6" i="8"/>
  <c r="C7" i="8"/>
  <c r="C3" i="8"/>
  <c r="D1" i="8"/>
  <c r="D694" i="2"/>
  <c r="D695" i="2" s="1"/>
  <c r="A693" i="2"/>
  <c r="C364" i="1"/>
  <c r="I21" i="8"/>
  <c r="I22" i="8"/>
  <c r="I23" i="8"/>
  <c r="I24" i="8"/>
  <c r="I25" i="8"/>
  <c r="I26" i="8"/>
  <c r="I27" i="8"/>
  <c r="I28" i="8"/>
  <c r="I29" i="8"/>
  <c r="I30" i="8"/>
  <c r="I31" i="8"/>
  <c r="I20" i="8"/>
  <c r="I17" i="8"/>
  <c r="I16" i="8"/>
  <c r="D688" i="2"/>
  <c r="D689" i="2"/>
  <c r="D690" i="2"/>
  <c r="D691" i="2"/>
  <c r="D687" i="2"/>
  <c r="B686" i="2"/>
  <c r="A686" i="2"/>
  <c r="B682" i="2"/>
  <c r="A682" i="2"/>
  <c r="D680" i="2"/>
  <c r="D681" i="2" s="1"/>
  <c r="B679" i="2"/>
  <c r="A679" i="2"/>
  <c r="D650" i="2"/>
  <c r="E352" i="1" s="1"/>
  <c r="C657" i="2"/>
  <c r="C641" i="2"/>
  <c r="B657" i="2"/>
  <c r="B651" i="2"/>
  <c r="B641" i="2"/>
  <c r="A657" i="2"/>
  <c r="A651" i="2"/>
  <c r="A641" i="2"/>
  <c r="D659" i="2"/>
  <c r="E354" i="1" s="1"/>
  <c r="E353" i="1"/>
  <c r="B950" i="2"/>
  <c r="E405" i="1"/>
  <c r="B611" i="2"/>
  <c r="A611" i="2"/>
  <c r="B605" i="2"/>
  <c r="A605" i="2"/>
  <c r="D907" i="2"/>
  <c r="I430" i="1" l="1"/>
  <c r="K430" i="1"/>
  <c r="J430" i="1"/>
  <c r="K422" i="1"/>
  <c r="J422" i="1"/>
  <c r="I405" i="1"/>
  <c r="J405" i="1"/>
  <c r="K405" i="1" s="1"/>
  <c r="I352" i="1"/>
  <c r="K352" i="1"/>
  <c r="J352" i="1"/>
  <c r="I354" i="1"/>
  <c r="K354" i="1"/>
  <c r="J354" i="1"/>
  <c r="I353" i="1"/>
  <c r="K353" i="1"/>
  <c r="J353" i="1"/>
  <c r="K372" i="1"/>
  <c r="D701" i="2"/>
  <c r="D1021" i="2" s="1"/>
  <c r="E366" i="1"/>
  <c r="D1022" i="2"/>
  <c r="E361" i="1"/>
  <c r="D1017" i="2"/>
  <c r="E364" i="1"/>
  <c r="D1020" i="2"/>
  <c r="I422" i="1"/>
  <c r="D951" i="2"/>
  <c r="D952" i="2" s="1"/>
  <c r="D685" i="2"/>
  <c r="D692" i="2"/>
  <c r="I44" i="8"/>
  <c r="J371" i="1" s="1"/>
  <c r="I56" i="8"/>
  <c r="I18" i="8"/>
  <c r="I38" i="8"/>
  <c r="K371" i="1" s="1"/>
  <c r="I32" i="8"/>
  <c r="D384" i="1"/>
  <c r="B565" i="2"/>
  <c r="A582" i="2"/>
  <c r="A565" i="2"/>
  <c r="C562" i="2"/>
  <c r="B562" i="2"/>
  <c r="A562" i="2"/>
  <c r="E342" i="1"/>
  <c r="E320" i="1"/>
  <c r="C513" i="2"/>
  <c r="C514" i="2" s="1"/>
  <c r="C515" i="2" s="1"/>
  <c r="C516" i="2" s="1"/>
  <c r="C517" i="2" s="1"/>
  <c r="A513" i="2"/>
  <c r="C68" i="2"/>
  <c r="B68" i="2"/>
  <c r="A68" i="2"/>
  <c r="E34" i="1"/>
  <c r="L354" i="1" l="1"/>
  <c r="I34" i="1"/>
  <c r="K34" i="1"/>
  <c r="J34" i="1"/>
  <c r="I342" i="1"/>
  <c r="K342" i="1"/>
  <c r="J342" i="1"/>
  <c r="J361" i="1"/>
  <c r="K361" i="1"/>
  <c r="L353" i="1"/>
  <c r="L352" i="1"/>
  <c r="I320" i="1"/>
  <c r="J320" i="1"/>
  <c r="K320" i="1"/>
  <c r="K366" i="1"/>
  <c r="J366" i="1"/>
  <c r="L366" i="1" s="1"/>
  <c r="J364" i="1"/>
  <c r="L371" i="1"/>
  <c r="I57" i="8"/>
  <c r="I371" i="1"/>
  <c r="K364" i="1"/>
  <c r="I361" i="1"/>
  <c r="I366" i="1"/>
  <c r="E363" i="1"/>
  <c r="D1019" i="2"/>
  <c r="E362" i="1"/>
  <c r="D1018" i="2"/>
  <c r="L422" i="1"/>
  <c r="L430" i="1"/>
  <c r="E365" i="1"/>
  <c r="D708" i="2"/>
  <c r="I364" i="1"/>
  <c r="I45" i="8"/>
  <c r="I33" i="8"/>
  <c r="L405" i="1"/>
  <c r="L342" i="1" l="1"/>
  <c r="L361" i="1"/>
  <c r="I362" i="1"/>
  <c r="K362" i="1"/>
  <c r="J362" i="1"/>
  <c r="I365" i="1"/>
  <c r="K365" i="1"/>
  <c r="J365" i="1"/>
  <c r="J363" i="1"/>
  <c r="K363" i="1"/>
  <c r="J372" i="1"/>
  <c r="L372" i="1" s="1"/>
  <c r="I372" i="1"/>
  <c r="L364" i="1"/>
  <c r="I363" i="1"/>
  <c r="L320" i="1"/>
  <c r="L363" i="1" l="1"/>
  <c r="L362" i="1"/>
  <c r="L365" i="1"/>
  <c r="B669" i="2"/>
  <c r="D677" i="2"/>
  <c r="D676" i="2"/>
  <c r="D675" i="2"/>
  <c r="D674" i="2"/>
  <c r="D673" i="2"/>
  <c r="D672" i="2"/>
  <c r="D671" i="2"/>
  <c r="D670" i="2"/>
  <c r="E351" i="1"/>
  <c r="E349" i="1"/>
  <c r="I351" i="1" l="1"/>
  <c r="K351" i="1"/>
  <c r="J351" i="1"/>
  <c r="K349" i="1"/>
  <c r="J349" i="1"/>
  <c r="E350" i="1"/>
  <c r="D911" i="2"/>
  <c r="D678" i="2"/>
  <c r="I350" i="1" l="1"/>
  <c r="K350" i="1"/>
  <c r="J350" i="1"/>
  <c r="L351" i="1"/>
  <c r="E360" i="1"/>
  <c r="D1016" i="2"/>
  <c r="D1023" i="2" s="1"/>
  <c r="K360" i="1" l="1"/>
  <c r="J360" i="1"/>
  <c r="L350" i="1"/>
  <c r="E144" i="1"/>
  <c r="E145" i="1"/>
  <c r="E146" i="1"/>
  <c r="E148" i="1"/>
  <c r="E149" i="1"/>
  <c r="E150" i="1"/>
  <c r="E151" i="1"/>
  <c r="E153" i="1"/>
  <c r="E154" i="1"/>
  <c r="E158" i="1"/>
  <c r="E159" i="1"/>
  <c r="E160" i="1"/>
  <c r="E161" i="1"/>
  <c r="E163" i="1"/>
  <c r="E164" i="1"/>
  <c r="E165" i="1"/>
  <c r="E167" i="1"/>
  <c r="E169" i="1"/>
  <c r="E171" i="1"/>
  <c r="E172" i="1"/>
  <c r="E174" i="1"/>
  <c r="E175" i="1"/>
  <c r="E176" i="1"/>
  <c r="E177" i="1"/>
  <c r="E178" i="1"/>
  <c r="E179" i="1"/>
  <c r="E182" i="1"/>
  <c r="E183" i="1"/>
  <c r="E184" i="1"/>
  <c r="E185" i="1"/>
  <c r="E187" i="1"/>
  <c r="E188" i="1"/>
  <c r="E189" i="1"/>
  <c r="E190" i="1"/>
  <c r="E191" i="1"/>
  <c r="E192" i="1"/>
  <c r="E194" i="1"/>
  <c r="E195" i="1"/>
  <c r="E197" i="1"/>
  <c r="E198" i="1"/>
  <c r="E199" i="1"/>
  <c r="E201" i="1"/>
  <c r="E202" i="1"/>
  <c r="E203" i="1"/>
  <c r="E204" i="1"/>
  <c r="E205" i="1"/>
  <c r="E206" i="1"/>
  <c r="E207" i="1"/>
  <c r="E208" i="1"/>
  <c r="E209" i="1"/>
  <c r="E211" i="1"/>
  <c r="E212" i="1"/>
  <c r="E213" i="1"/>
  <c r="E214" i="1"/>
  <c r="E215" i="1"/>
  <c r="E216" i="1"/>
  <c r="E217" i="1"/>
  <c r="E233" i="1"/>
  <c r="E235" i="1"/>
  <c r="E236" i="1"/>
  <c r="E240" i="1"/>
  <c r="E241" i="1"/>
  <c r="E242" i="1"/>
  <c r="E243" i="1"/>
  <c r="E244" i="1"/>
  <c r="E245" i="1"/>
  <c r="E246" i="1"/>
  <c r="E247" i="1"/>
  <c r="E248" i="1"/>
  <c r="E250" i="1"/>
  <c r="E251" i="1"/>
  <c r="E254" i="1"/>
  <c r="E255" i="1"/>
  <c r="E256" i="1"/>
  <c r="E259" i="1"/>
  <c r="E260" i="1"/>
  <c r="E261" i="1"/>
  <c r="E266" i="1"/>
  <c r="E269" i="1"/>
  <c r="E270" i="1"/>
  <c r="E274" i="1"/>
  <c r="E277" i="1"/>
  <c r="E278" i="1"/>
  <c r="E279" i="1"/>
  <c r="I282" i="1"/>
  <c r="D143" i="1"/>
  <c r="D144" i="1"/>
  <c r="D145" i="1"/>
  <c r="D146" i="1"/>
  <c r="D147" i="1"/>
  <c r="D148" i="1"/>
  <c r="D149" i="1"/>
  <c r="D150" i="1"/>
  <c r="D151" i="1"/>
  <c r="D153" i="1"/>
  <c r="D154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21" i="1"/>
  <c r="D232" i="1"/>
  <c r="D233" i="1"/>
  <c r="D234" i="1"/>
  <c r="D235" i="1"/>
  <c r="D236" i="1"/>
  <c r="D240" i="1"/>
  <c r="D241" i="1"/>
  <c r="D242" i="1"/>
  <c r="D243" i="1"/>
  <c r="D244" i="1"/>
  <c r="D245" i="1"/>
  <c r="D247" i="1"/>
  <c r="D248" i="1"/>
  <c r="D250" i="1"/>
  <c r="D251" i="1"/>
  <c r="D253" i="1"/>
  <c r="D254" i="1"/>
  <c r="D255" i="1"/>
  <c r="D256" i="1"/>
  <c r="D259" i="1"/>
  <c r="D260" i="1"/>
  <c r="D261" i="1"/>
  <c r="D262" i="1"/>
  <c r="D266" i="1"/>
  <c r="D268" i="1"/>
  <c r="D269" i="1"/>
  <c r="D270" i="1"/>
  <c r="D273" i="1"/>
  <c r="D274" i="1"/>
  <c r="D276" i="1"/>
  <c r="D277" i="1"/>
  <c r="D278" i="1"/>
  <c r="D279" i="1"/>
  <c r="D281" i="1"/>
  <c r="D282" i="1"/>
  <c r="D142" i="1"/>
  <c r="K274" i="1" l="1"/>
  <c r="J274" i="1"/>
  <c r="K259" i="1"/>
  <c r="J259" i="1"/>
  <c r="K248" i="1"/>
  <c r="J248" i="1"/>
  <c r="I242" i="1"/>
  <c r="K242" i="1"/>
  <c r="J242" i="1"/>
  <c r="K217" i="1"/>
  <c r="J217" i="1"/>
  <c r="I211" i="1"/>
  <c r="K211" i="1"/>
  <c r="J211" i="1"/>
  <c r="J204" i="1"/>
  <c r="K204" i="1"/>
  <c r="I197" i="1"/>
  <c r="K197" i="1"/>
  <c r="J197" i="1"/>
  <c r="K189" i="1"/>
  <c r="J189" i="1"/>
  <c r="J182" i="1"/>
  <c r="K182" i="1"/>
  <c r="L182" i="1" s="1"/>
  <c r="K174" i="1"/>
  <c r="J174" i="1"/>
  <c r="I164" i="1"/>
  <c r="K164" i="1"/>
  <c r="J164" i="1"/>
  <c r="J154" i="1"/>
  <c r="K154" i="1"/>
  <c r="K146" i="1"/>
  <c r="J146" i="1"/>
  <c r="K270" i="1"/>
  <c r="J270" i="1"/>
  <c r="J256" i="1"/>
  <c r="K256" i="1"/>
  <c r="L256" i="1" s="1"/>
  <c r="I247" i="1"/>
  <c r="K247" i="1"/>
  <c r="J247" i="1"/>
  <c r="K241" i="1"/>
  <c r="J241" i="1"/>
  <c r="J216" i="1"/>
  <c r="K216" i="1"/>
  <c r="I209" i="1"/>
  <c r="K209" i="1"/>
  <c r="J209" i="1"/>
  <c r="K203" i="1"/>
  <c r="J203" i="1"/>
  <c r="K195" i="1"/>
  <c r="J195" i="1"/>
  <c r="K188" i="1"/>
  <c r="L188" i="1" s="1"/>
  <c r="J188" i="1"/>
  <c r="K179" i="1"/>
  <c r="J179" i="1"/>
  <c r="J172" i="1"/>
  <c r="K172" i="1"/>
  <c r="K163" i="1"/>
  <c r="J163" i="1"/>
  <c r="K153" i="1"/>
  <c r="J153" i="1"/>
  <c r="J145" i="1"/>
  <c r="K145" i="1"/>
  <c r="K269" i="1"/>
  <c r="J269" i="1"/>
  <c r="K255" i="1"/>
  <c r="J255" i="1"/>
  <c r="J246" i="1"/>
  <c r="K246" i="1"/>
  <c r="K240" i="1"/>
  <c r="J240" i="1"/>
  <c r="K215" i="1"/>
  <c r="J215" i="1"/>
  <c r="J208" i="1"/>
  <c r="K208" i="1"/>
  <c r="K202" i="1"/>
  <c r="J202" i="1"/>
  <c r="I194" i="1"/>
  <c r="K194" i="1"/>
  <c r="J194" i="1"/>
  <c r="J187" i="1"/>
  <c r="L187" i="1" s="1"/>
  <c r="K187" i="1"/>
  <c r="J178" i="1"/>
  <c r="K178" i="1"/>
  <c r="L178" i="1" s="1"/>
  <c r="K171" i="1"/>
  <c r="J171" i="1"/>
  <c r="I161" i="1"/>
  <c r="K161" i="1"/>
  <c r="J161" i="1"/>
  <c r="K151" i="1"/>
  <c r="J151" i="1"/>
  <c r="K144" i="1"/>
  <c r="J144" i="1"/>
  <c r="I279" i="1"/>
  <c r="K279" i="1"/>
  <c r="J279" i="1"/>
  <c r="K266" i="1"/>
  <c r="L266" i="1" s="1"/>
  <c r="J266" i="1"/>
  <c r="K254" i="1"/>
  <c r="J254" i="1"/>
  <c r="L254" i="1" s="1"/>
  <c r="K245" i="1"/>
  <c r="J245" i="1"/>
  <c r="K236" i="1"/>
  <c r="J236" i="1"/>
  <c r="K214" i="1"/>
  <c r="J214" i="1"/>
  <c r="K207" i="1"/>
  <c r="J207" i="1"/>
  <c r="L207" i="1" s="1"/>
  <c r="I201" i="1"/>
  <c r="K201" i="1"/>
  <c r="J201" i="1"/>
  <c r="K192" i="1"/>
  <c r="J192" i="1"/>
  <c r="K185" i="1"/>
  <c r="J185" i="1"/>
  <c r="K177" i="1"/>
  <c r="J177" i="1"/>
  <c r="I169" i="1"/>
  <c r="K169" i="1"/>
  <c r="J169" i="1"/>
  <c r="I160" i="1"/>
  <c r="K160" i="1"/>
  <c r="J160" i="1"/>
  <c r="K150" i="1"/>
  <c r="L150" i="1" s="1"/>
  <c r="J150" i="1"/>
  <c r="J278" i="1"/>
  <c r="K278" i="1"/>
  <c r="K261" i="1"/>
  <c r="J261" i="1"/>
  <c r="K251" i="1"/>
  <c r="J251" i="1"/>
  <c r="J244" i="1"/>
  <c r="K244" i="1"/>
  <c r="L244" i="1" s="1"/>
  <c r="K235" i="1"/>
  <c r="J235" i="1"/>
  <c r="K213" i="1"/>
  <c r="J213" i="1"/>
  <c r="K206" i="1"/>
  <c r="J206" i="1"/>
  <c r="I199" i="1"/>
  <c r="K199" i="1"/>
  <c r="J199" i="1"/>
  <c r="K191" i="1"/>
  <c r="J191" i="1"/>
  <c r="K184" i="1"/>
  <c r="J184" i="1"/>
  <c r="K176" i="1"/>
  <c r="J176" i="1"/>
  <c r="K167" i="1"/>
  <c r="J167" i="1"/>
  <c r="I159" i="1"/>
  <c r="J159" i="1"/>
  <c r="K159" i="1"/>
  <c r="I149" i="1"/>
  <c r="K149" i="1"/>
  <c r="J149" i="1"/>
  <c r="K277" i="1"/>
  <c r="J277" i="1"/>
  <c r="K260" i="1"/>
  <c r="L260" i="1" s="1"/>
  <c r="J260" i="1"/>
  <c r="J250" i="1"/>
  <c r="K250" i="1"/>
  <c r="J243" i="1"/>
  <c r="K243" i="1"/>
  <c r="K233" i="1"/>
  <c r="J233" i="1"/>
  <c r="K212" i="1"/>
  <c r="J212" i="1"/>
  <c r="L212" i="1" s="1"/>
  <c r="I205" i="1"/>
  <c r="K205" i="1"/>
  <c r="J205" i="1"/>
  <c r="K198" i="1"/>
  <c r="J198" i="1"/>
  <c r="K190" i="1"/>
  <c r="J190" i="1"/>
  <c r="I183" i="1"/>
  <c r="K183" i="1"/>
  <c r="J183" i="1"/>
  <c r="I175" i="1"/>
  <c r="J175" i="1"/>
  <c r="K175" i="1"/>
  <c r="K165" i="1"/>
  <c r="J165" i="1"/>
  <c r="K158" i="1"/>
  <c r="J158" i="1"/>
  <c r="I148" i="1"/>
  <c r="K148" i="1"/>
  <c r="J148" i="1"/>
  <c r="I248" i="1"/>
  <c r="I154" i="1"/>
  <c r="I190" i="1"/>
  <c r="L217" i="1"/>
  <c r="L176" i="1"/>
  <c r="I266" i="1"/>
  <c r="I184" i="1"/>
  <c r="I206" i="1"/>
  <c r="I278" i="1"/>
  <c r="I144" i="1"/>
  <c r="L232" i="1"/>
  <c r="L147" i="1"/>
  <c r="L143" i="1"/>
  <c r="I261" i="1"/>
  <c r="I165" i="1"/>
  <c r="I235" i="1"/>
  <c r="I204" i="1"/>
  <c r="I178" i="1"/>
  <c r="I151" i="1"/>
  <c r="I174" i="1"/>
  <c r="I216" i="1"/>
  <c r="I260" i="1"/>
  <c r="I191" i="1"/>
  <c r="I176" i="1"/>
  <c r="I236" i="1"/>
  <c r="I202" i="1"/>
  <c r="L202" i="1"/>
  <c r="I256" i="1"/>
  <c r="I179" i="1"/>
  <c r="I254" i="1"/>
  <c r="L269" i="1"/>
  <c r="I217" i="1"/>
  <c r="I212" i="1"/>
  <c r="I146" i="1"/>
  <c r="I277" i="1"/>
  <c r="I198" i="1"/>
  <c r="I250" i="1"/>
  <c r="I233" i="1"/>
  <c r="I243" i="1"/>
  <c r="I182" i="1"/>
  <c r="I195" i="1"/>
  <c r="I187" i="1"/>
  <c r="I208" i="1"/>
  <c r="I213" i="1"/>
  <c r="L234" i="1"/>
  <c r="I153" i="1"/>
  <c r="I167" i="1"/>
  <c r="I145" i="1"/>
  <c r="L142" i="1"/>
  <c r="I189" i="1"/>
  <c r="I251" i="1"/>
  <c r="I274" i="1"/>
  <c r="I150" i="1"/>
  <c r="I163" i="1"/>
  <c r="I177" i="1"/>
  <c r="I255" i="1"/>
  <c r="I171" i="1"/>
  <c r="L172" i="1"/>
  <c r="I188" i="1"/>
  <c r="I192" i="1"/>
  <c r="I214" i="1"/>
  <c r="I240" i="1"/>
  <c r="I244" i="1"/>
  <c r="I246" i="1"/>
  <c r="L270" i="1"/>
  <c r="I172" i="1"/>
  <c r="I215" i="1"/>
  <c r="I241" i="1"/>
  <c r="I158" i="1"/>
  <c r="I270" i="1"/>
  <c r="L240" i="1"/>
  <c r="I259" i="1"/>
  <c r="I269" i="1"/>
  <c r="I245" i="1"/>
  <c r="I185" i="1"/>
  <c r="I203" i="1"/>
  <c r="I207" i="1"/>
  <c r="L153" i="1" l="1"/>
  <c r="L236" i="1"/>
  <c r="L250" i="1"/>
  <c r="L167" i="1"/>
  <c r="L214" i="1"/>
  <c r="L245" i="1"/>
  <c r="L179" i="1"/>
  <c r="L241" i="1"/>
  <c r="L189" i="1"/>
  <c r="L190" i="1"/>
  <c r="L185" i="1"/>
  <c r="L203" i="1"/>
  <c r="L278" i="1"/>
  <c r="L215" i="1"/>
  <c r="L255" i="1"/>
  <c r="L154" i="1"/>
  <c r="L213" i="1"/>
  <c r="L251" i="1"/>
  <c r="L192" i="1"/>
  <c r="L163" i="1"/>
  <c r="L204" i="1"/>
  <c r="L259" i="1"/>
  <c r="L233" i="1"/>
  <c r="L206" i="1"/>
  <c r="L151" i="1"/>
  <c r="L158" i="1"/>
  <c r="L198" i="1"/>
  <c r="L165" i="1"/>
  <c r="L235" i="1"/>
  <c r="L261" i="1"/>
  <c r="L160" i="1"/>
  <c r="L177" i="1"/>
  <c r="L191" i="1"/>
  <c r="L243" i="1"/>
  <c r="L277" i="1"/>
  <c r="L184" i="1"/>
  <c r="L144" i="1"/>
  <c r="L171" i="1"/>
  <c r="L208" i="1"/>
  <c r="L246" i="1"/>
  <c r="L145" i="1"/>
  <c r="L195" i="1"/>
  <c r="L216" i="1"/>
  <c r="L146" i="1"/>
  <c r="L174" i="1"/>
  <c r="L274" i="1"/>
  <c r="I297" i="1"/>
  <c r="C32" i="7" s="1"/>
  <c r="C34" i="7" s="1"/>
  <c r="L248" i="1"/>
  <c r="L169" i="1"/>
  <c r="L199" i="1"/>
  <c r="L279" i="1"/>
  <c r="L175" i="1"/>
  <c r="L164" i="1"/>
  <c r="L242" i="1"/>
  <c r="L148" i="1"/>
  <c r="L149" i="1"/>
  <c r="L197" i="1"/>
  <c r="L194" i="1"/>
  <c r="L205" i="1"/>
  <c r="L209" i="1"/>
  <c r="L282" i="1"/>
  <c r="L247" i="1"/>
  <c r="L211" i="1"/>
  <c r="L183" i="1"/>
  <c r="N34" i="7" l="1"/>
  <c r="K34" i="7"/>
  <c r="O34" i="7"/>
  <c r="M34" i="7"/>
  <c r="J34" i="7"/>
  <c r="L34" i="7"/>
  <c r="B483" i="2"/>
  <c r="D28" i="2"/>
  <c r="D73" i="2" s="1"/>
  <c r="D16" i="2"/>
  <c r="E15" i="1" s="1"/>
  <c r="C14" i="2"/>
  <c r="B14" i="2"/>
  <c r="A14" i="2"/>
  <c r="J15" i="1" l="1"/>
  <c r="K15" i="1"/>
  <c r="L15" i="1" s="1"/>
  <c r="D552" i="2"/>
  <c r="D35" i="2"/>
  <c r="D36" i="2" s="1"/>
  <c r="E20" i="1" s="1"/>
  <c r="D56" i="2"/>
  <c r="D57" i="2" s="1"/>
  <c r="D249" i="2"/>
  <c r="I15" i="1"/>
  <c r="D8" i="7"/>
  <c r="B8" i="2"/>
  <c r="I20" i="1" l="1"/>
  <c r="K20" i="1"/>
  <c r="J20" i="1"/>
  <c r="L338" i="1"/>
  <c r="D244" i="2"/>
  <c r="D22" i="2"/>
  <c r="E17" i="1" s="1"/>
  <c r="K17" i="1" l="1"/>
  <c r="J17" i="1"/>
  <c r="D246" i="2"/>
  <c r="D247" i="2" s="1"/>
  <c r="E65" i="1" s="1"/>
  <c r="I17" i="1"/>
  <c r="L332" i="1"/>
  <c r="L334" i="1"/>
  <c r="I65" i="1" l="1"/>
  <c r="K65" i="1"/>
  <c r="J65" i="1"/>
  <c r="L17" i="1"/>
  <c r="D4" i="7"/>
  <c r="D5" i="7"/>
  <c r="D6" i="7"/>
  <c r="D7" i="7"/>
  <c r="D3" i="7"/>
  <c r="C3" i="7"/>
  <c r="C4" i="7"/>
  <c r="C5" i="7"/>
  <c r="C6" i="7"/>
  <c r="C7" i="7"/>
  <c r="C10" i="7"/>
  <c r="C1" i="7"/>
  <c r="B83" i="7"/>
  <c r="B80" i="7"/>
  <c r="B77" i="7"/>
  <c r="B71" i="7"/>
  <c r="B68" i="7"/>
  <c r="B65" i="7"/>
  <c r="B62" i="7"/>
  <c r="B59" i="7"/>
  <c r="B56" i="7"/>
  <c r="B53" i="7"/>
  <c r="B50" i="7"/>
  <c r="B47" i="7"/>
  <c r="B44" i="7"/>
  <c r="B41" i="7"/>
  <c r="B38" i="7"/>
  <c r="B35" i="7"/>
  <c r="B32" i="7"/>
  <c r="B29" i="7"/>
  <c r="B26" i="7"/>
  <c r="B23" i="7"/>
  <c r="B20" i="7"/>
  <c r="B17" i="7"/>
  <c r="E435" i="1"/>
  <c r="D433" i="1"/>
  <c r="D319" i="1"/>
  <c r="D331" i="1"/>
  <c r="K435" i="1" l="1"/>
  <c r="J435" i="1"/>
  <c r="L416" i="1"/>
  <c r="L367" i="1"/>
  <c r="L316" i="1"/>
  <c r="L386" i="1"/>
  <c r="L330" i="1"/>
  <c r="L141" i="1"/>
  <c r="L37" i="1"/>
  <c r="I435" i="1"/>
  <c r="L429" i="1"/>
  <c r="L396" i="1"/>
  <c r="L375" i="1"/>
  <c r="L348" i="1"/>
  <c r="L324" i="1"/>
  <c r="L54" i="1"/>
  <c r="L26" i="1"/>
  <c r="L427" i="1"/>
  <c r="L412" i="1"/>
  <c r="L394" i="1"/>
  <c r="L383" i="1"/>
  <c r="L373" i="1"/>
  <c r="L359" i="1"/>
  <c r="L346" i="1"/>
  <c r="L329" i="1"/>
  <c r="L322" i="1"/>
  <c r="L299" i="1"/>
  <c r="L139" i="1"/>
  <c r="L52" i="1"/>
  <c r="L31" i="1"/>
  <c r="L24" i="1"/>
  <c r="L418" i="1"/>
  <c r="L406" i="1"/>
  <c r="L388" i="1"/>
  <c r="L381" i="1"/>
  <c r="L369" i="1"/>
  <c r="L357" i="1"/>
  <c r="L340" i="1"/>
  <c r="L328" i="1"/>
  <c r="L318" i="1"/>
  <c r="L297" i="1"/>
  <c r="L70" i="1"/>
  <c r="L39" i="1"/>
  <c r="L29" i="1"/>
  <c r="L68" i="1"/>
  <c r="L117" i="1"/>
  <c r="L125" i="1"/>
  <c r="L120" i="1"/>
  <c r="L124" i="1"/>
  <c r="L122" i="1"/>
  <c r="L121" i="1"/>
  <c r="L118" i="1"/>
  <c r="L116" i="1"/>
  <c r="L126" i="1"/>
  <c r="L123" i="1"/>
  <c r="L435" i="1" l="1"/>
  <c r="L300" i="1"/>
  <c r="L301" i="1"/>
  <c r="L303" i="1"/>
  <c r="L302" i="1"/>
  <c r="D166" i="2"/>
  <c r="E56" i="1" s="1"/>
  <c r="B245" i="2"/>
  <c r="I56" i="1" l="1"/>
  <c r="K56" i="1"/>
  <c r="J56" i="1"/>
  <c r="F37" i="7"/>
  <c r="I37" i="7"/>
  <c r="D37" i="7"/>
  <c r="E37" i="7"/>
  <c r="G37" i="7"/>
  <c r="D404" i="1"/>
  <c r="D397" i="1"/>
  <c r="D390" i="1"/>
  <c r="E61" i="1"/>
  <c r="D58" i="1"/>
  <c r="I61" i="1" l="1"/>
  <c r="J61" i="1"/>
  <c r="K61" i="1"/>
  <c r="L56" i="1"/>
  <c r="D42" i="1"/>
  <c r="D47" i="1"/>
  <c r="D36" i="1"/>
  <c r="D35" i="1"/>
  <c r="D22" i="1"/>
  <c r="D21" i="1"/>
  <c r="E437" i="1"/>
  <c r="D1041" i="2"/>
  <c r="D1042" i="2" s="1"/>
  <c r="E434" i="1" s="1"/>
  <c r="E431" i="1"/>
  <c r="D974" i="2"/>
  <c r="E413" i="1" s="1"/>
  <c r="D949" i="2"/>
  <c r="E404" i="1" s="1"/>
  <c r="D912" i="2"/>
  <c r="B944" i="2"/>
  <c r="E398" i="1"/>
  <c r="E399" i="1"/>
  <c r="I398" i="1" l="1"/>
  <c r="K398" i="1"/>
  <c r="J398" i="1"/>
  <c r="I434" i="1"/>
  <c r="K434" i="1"/>
  <c r="J434" i="1"/>
  <c r="I399" i="1"/>
  <c r="K399" i="1"/>
  <c r="J399" i="1"/>
  <c r="I437" i="1"/>
  <c r="K437" i="1"/>
  <c r="J437" i="1"/>
  <c r="I404" i="1"/>
  <c r="J404" i="1"/>
  <c r="K404" i="1" s="1"/>
  <c r="K413" i="1"/>
  <c r="J413" i="1"/>
  <c r="K431" i="1"/>
  <c r="J431" i="1"/>
  <c r="I413" i="1"/>
  <c r="E397" i="1"/>
  <c r="D945" i="2"/>
  <c r="L61" i="1"/>
  <c r="I414" i="1"/>
  <c r="I431" i="1"/>
  <c r="E432" i="1"/>
  <c r="E424" i="1"/>
  <c r="D525" i="2"/>
  <c r="D528" i="2" s="1"/>
  <c r="E426" i="1"/>
  <c r="L431" i="1" l="1"/>
  <c r="I426" i="1"/>
  <c r="K426" i="1"/>
  <c r="J426" i="1"/>
  <c r="I424" i="1"/>
  <c r="J424" i="1"/>
  <c r="K424" i="1"/>
  <c r="I432" i="1"/>
  <c r="K432" i="1"/>
  <c r="J432" i="1"/>
  <c r="I397" i="1"/>
  <c r="K397" i="1"/>
  <c r="J397" i="1"/>
  <c r="I416" i="1"/>
  <c r="C77" i="7" s="1"/>
  <c r="C79" i="7" s="1"/>
  <c r="L413" i="1"/>
  <c r="L414" i="1"/>
  <c r="D946" i="2"/>
  <c r="E403" i="1" s="1"/>
  <c r="J403" i="1" s="1"/>
  <c r="L437" i="1"/>
  <c r="L399" i="1"/>
  <c r="L404" i="1"/>
  <c r="L398" i="1"/>
  <c r="L434" i="1"/>
  <c r="E436" i="1"/>
  <c r="E393" i="1"/>
  <c r="E345" i="1"/>
  <c r="E326" i="1"/>
  <c r="E325" i="1"/>
  <c r="M79" i="7" l="1"/>
  <c r="J79" i="7"/>
  <c r="N79" i="7"/>
  <c r="L79" i="7"/>
  <c r="O79" i="7"/>
  <c r="K79" i="7"/>
  <c r="I345" i="1"/>
  <c r="J345" i="1"/>
  <c r="K345" i="1"/>
  <c r="I393" i="1"/>
  <c r="K393" i="1"/>
  <c r="J393" i="1"/>
  <c r="K436" i="1"/>
  <c r="J436" i="1"/>
  <c r="K326" i="1"/>
  <c r="J326" i="1"/>
  <c r="K403" i="1"/>
  <c r="L403" i="1" s="1"/>
  <c r="K325" i="1"/>
  <c r="J325" i="1"/>
  <c r="H79" i="7"/>
  <c r="D250" i="2"/>
  <c r="E66" i="1" s="1"/>
  <c r="D553" i="2"/>
  <c r="D554" i="2" s="1"/>
  <c r="E391" i="1"/>
  <c r="D1094" i="2"/>
  <c r="D1095" i="2" s="1"/>
  <c r="E438" i="1" s="1"/>
  <c r="L397" i="1"/>
  <c r="I403" i="1"/>
  <c r="I406" i="1" s="1"/>
  <c r="C71" i="7" s="1"/>
  <c r="C73" i="7" s="1"/>
  <c r="L426" i="1"/>
  <c r="L432" i="1"/>
  <c r="I436" i="1"/>
  <c r="L424" i="1"/>
  <c r="I325" i="1"/>
  <c r="I349" i="1"/>
  <c r="I357" i="1" s="1"/>
  <c r="C53" i="7" s="1"/>
  <c r="C55" i="7" s="1"/>
  <c r="I326" i="1"/>
  <c r="E379" i="1"/>
  <c r="E385" i="1"/>
  <c r="E384" i="1"/>
  <c r="I391" i="1" l="1"/>
  <c r="K391" i="1"/>
  <c r="J391" i="1"/>
  <c r="K385" i="1"/>
  <c r="J385" i="1"/>
  <c r="I66" i="1"/>
  <c r="K66" i="1"/>
  <c r="J66" i="1"/>
  <c r="M76" i="7"/>
  <c r="L73" i="7"/>
  <c r="O73" i="7"/>
  <c r="N76" i="7"/>
  <c r="J73" i="7"/>
  <c r="J76" i="7"/>
  <c r="N73" i="7"/>
  <c r="K73" i="7"/>
  <c r="O76" i="7"/>
  <c r="K76" i="7"/>
  <c r="M73" i="7"/>
  <c r="K384" i="1"/>
  <c r="J384" i="1"/>
  <c r="I379" i="1"/>
  <c r="J379" i="1"/>
  <c r="K379" i="1"/>
  <c r="K55" i="7"/>
  <c r="O55" i="7"/>
  <c r="H55" i="7"/>
  <c r="L55" i="7"/>
  <c r="N55" i="7"/>
  <c r="J55" i="7"/>
  <c r="M55" i="7"/>
  <c r="I438" i="1"/>
  <c r="K438" i="1"/>
  <c r="J438" i="1"/>
  <c r="F73" i="7"/>
  <c r="I76" i="7"/>
  <c r="D76" i="7"/>
  <c r="H76" i="7"/>
  <c r="G76" i="7"/>
  <c r="F76" i="7"/>
  <c r="E76" i="7"/>
  <c r="I79" i="7"/>
  <c r="G79" i="7"/>
  <c r="E79" i="7"/>
  <c r="F79" i="7"/>
  <c r="D79" i="7"/>
  <c r="E331" i="1"/>
  <c r="D563" i="2"/>
  <c r="D564" i="2" s="1"/>
  <c r="E341" i="1" s="1"/>
  <c r="D548" i="2"/>
  <c r="E327" i="1" s="1"/>
  <c r="D73" i="7"/>
  <c r="H73" i="7"/>
  <c r="E73" i="7"/>
  <c r="I73" i="7"/>
  <c r="G73" i="7"/>
  <c r="E419" i="1"/>
  <c r="E319" i="1"/>
  <c r="L436" i="1"/>
  <c r="L326" i="1"/>
  <c r="L325" i="1"/>
  <c r="L393" i="1"/>
  <c r="I335" i="1"/>
  <c r="I338" i="1" s="1"/>
  <c r="C47" i="7" s="1"/>
  <c r="C49" i="7" s="1"/>
  <c r="L345" i="1"/>
  <c r="L349" i="1"/>
  <c r="I385" i="1"/>
  <c r="I360" i="1"/>
  <c r="I367" i="1" s="1"/>
  <c r="C56" i="7" s="1"/>
  <c r="C58" i="7" s="1"/>
  <c r="I384" i="1"/>
  <c r="D709" i="2"/>
  <c r="E370" i="1" s="1"/>
  <c r="D902" i="2"/>
  <c r="E390" i="1"/>
  <c r="D727" i="2"/>
  <c r="D729" i="2" s="1"/>
  <c r="I344" i="1"/>
  <c r="E42" i="1"/>
  <c r="E41" i="1"/>
  <c r="B50" i="2"/>
  <c r="B73" i="2"/>
  <c r="B64" i="2"/>
  <c r="D32" i="2"/>
  <c r="E19" i="1" s="1"/>
  <c r="E18" i="1"/>
  <c r="E64" i="1"/>
  <c r="E60" i="1"/>
  <c r="E58" i="1"/>
  <c r="E57" i="1"/>
  <c r="E55" i="1"/>
  <c r="A1" i="2"/>
  <c r="B5" i="2"/>
  <c r="B6" i="2"/>
  <c r="B7" i="2"/>
  <c r="B3" i="2"/>
  <c r="A4" i="2"/>
  <c r="A5" i="2"/>
  <c r="A6" i="2"/>
  <c r="A7" i="2"/>
  <c r="A10" i="2"/>
  <c r="A3" i="2"/>
  <c r="A14" i="7"/>
  <c r="A17" i="7" s="1"/>
  <c r="A20" i="7" s="1"/>
  <c r="A23" i="7" s="1"/>
  <c r="A26" i="7" s="1"/>
  <c r="A29" i="7" s="1"/>
  <c r="A32" i="7" s="1"/>
  <c r="A35" i="7" s="1"/>
  <c r="A38" i="7" s="1"/>
  <c r="A41" i="7" s="1"/>
  <c r="A44" i="7" s="1"/>
  <c r="A47" i="7" s="1"/>
  <c r="A50" i="7" s="1"/>
  <c r="A53" i="7" s="1"/>
  <c r="A56" i="7" s="1"/>
  <c r="A59" i="7" s="1"/>
  <c r="A62" i="7" s="1"/>
  <c r="A65" i="7" s="1"/>
  <c r="A68" i="7" s="1"/>
  <c r="A71" i="7" s="1"/>
  <c r="I18" i="1" l="1"/>
  <c r="K18" i="1"/>
  <c r="J18" i="1"/>
  <c r="I42" i="1"/>
  <c r="J42" i="1"/>
  <c r="K42" i="1"/>
  <c r="I341" i="1"/>
  <c r="I346" i="1" s="1"/>
  <c r="C50" i="7" s="1"/>
  <c r="C52" i="7" s="1"/>
  <c r="K341" i="1"/>
  <c r="J341" i="1"/>
  <c r="K331" i="1"/>
  <c r="J331" i="1"/>
  <c r="J55" i="1"/>
  <c r="K55" i="1"/>
  <c r="I57" i="1"/>
  <c r="K57" i="1"/>
  <c r="J57" i="1"/>
  <c r="I390" i="1"/>
  <c r="K390" i="1"/>
  <c r="J390" i="1"/>
  <c r="I64" i="1"/>
  <c r="K64" i="1"/>
  <c r="J64" i="1"/>
  <c r="I19" i="1"/>
  <c r="K19" i="1"/>
  <c r="J19" i="1"/>
  <c r="I58" i="1"/>
  <c r="K58" i="1"/>
  <c r="J58" i="1"/>
  <c r="I60" i="1"/>
  <c r="K60" i="1"/>
  <c r="J60" i="1"/>
  <c r="I319" i="1"/>
  <c r="I322" i="1" s="1"/>
  <c r="C38" i="7" s="1"/>
  <c r="C40" i="7" s="1"/>
  <c r="K319" i="1"/>
  <c r="J319" i="1"/>
  <c r="I41" i="1"/>
  <c r="K41" i="1"/>
  <c r="J41" i="1"/>
  <c r="K370" i="1"/>
  <c r="J370" i="1"/>
  <c r="N49" i="7"/>
  <c r="L49" i="7"/>
  <c r="O49" i="7"/>
  <c r="K49" i="7"/>
  <c r="M49" i="7"/>
  <c r="J49" i="7"/>
  <c r="K419" i="1"/>
  <c r="J419" i="1"/>
  <c r="J327" i="1"/>
  <c r="K327" i="1"/>
  <c r="N58" i="7"/>
  <c r="L58" i="7"/>
  <c r="M58" i="7"/>
  <c r="K58" i="7"/>
  <c r="J58" i="7"/>
  <c r="O58" i="7"/>
  <c r="D904" i="2"/>
  <c r="E392" i="1" s="1"/>
  <c r="I331" i="1"/>
  <c r="I332" i="1" s="1"/>
  <c r="C44" i="7" s="1"/>
  <c r="C46" i="7" s="1"/>
  <c r="I327" i="1"/>
  <c r="I328" i="1" s="1"/>
  <c r="C41" i="7" s="1"/>
  <c r="C43" i="7" s="1"/>
  <c r="L66" i="1"/>
  <c r="L438" i="1"/>
  <c r="L391" i="1"/>
  <c r="G55" i="7"/>
  <c r="I55" i="7"/>
  <c r="F55" i="7"/>
  <c r="E55" i="7"/>
  <c r="D55" i="7"/>
  <c r="I419" i="1"/>
  <c r="L384" i="1"/>
  <c r="L385" i="1"/>
  <c r="L335" i="1"/>
  <c r="L379" i="1"/>
  <c r="L360" i="1"/>
  <c r="E45" i="1"/>
  <c r="I55" i="1"/>
  <c r="I370" i="1"/>
  <c r="I373" i="1" s="1"/>
  <c r="C59" i="7" s="1"/>
  <c r="C61" i="7" s="1"/>
  <c r="E376" i="1"/>
  <c r="E33" i="1"/>
  <c r="E40" i="1"/>
  <c r="E47" i="1"/>
  <c r="E50" i="1"/>
  <c r="I49" i="1"/>
  <c r="E44" i="1"/>
  <c r="D1038" i="2"/>
  <c r="D1039" i="2" s="1"/>
  <c r="E46" i="1"/>
  <c r="E27" i="1"/>
  <c r="D39" i="2"/>
  <c r="D40" i="2" s="1"/>
  <c r="E21" i="1" s="1"/>
  <c r="D43" i="2"/>
  <c r="E16" i="1"/>
  <c r="L419" i="1" l="1"/>
  <c r="I68" i="1"/>
  <c r="C26" i="7" s="1"/>
  <c r="C28" i="7" s="1"/>
  <c r="F28" i="7" s="1"/>
  <c r="K52" i="7"/>
  <c r="N52" i="7"/>
  <c r="L52" i="7"/>
  <c r="M52" i="7"/>
  <c r="J52" i="7"/>
  <c r="O52" i="7"/>
  <c r="I16" i="1"/>
  <c r="K16" i="1"/>
  <c r="J16" i="1"/>
  <c r="I44" i="1"/>
  <c r="K44" i="1"/>
  <c r="J44" i="1"/>
  <c r="K376" i="1"/>
  <c r="J376" i="1"/>
  <c r="G43" i="7"/>
  <c r="M43" i="7"/>
  <c r="H43" i="7"/>
  <c r="N43" i="7"/>
  <c r="J43" i="7"/>
  <c r="E43" i="7"/>
  <c r="L43" i="7"/>
  <c r="F43" i="7"/>
  <c r="K43" i="7"/>
  <c r="O43" i="7"/>
  <c r="I43" i="7"/>
  <c r="O46" i="7"/>
  <c r="K46" i="7"/>
  <c r="L46" i="7"/>
  <c r="M46" i="7"/>
  <c r="N46" i="7"/>
  <c r="J46" i="7"/>
  <c r="I21" i="1"/>
  <c r="K21" i="1"/>
  <c r="J21" i="1"/>
  <c r="K50" i="1"/>
  <c r="J50" i="1"/>
  <c r="I47" i="1"/>
  <c r="K47" i="1"/>
  <c r="J47" i="1"/>
  <c r="I45" i="1"/>
  <c r="K45" i="1"/>
  <c r="J45" i="1"/>
  <c r="I392" i="1"/>
  <c r="K392" i="1"/>
  <c r="J392" i="1"/>
  <c r="I33" i="1"/>
  <c r="K33" i="1"/>
  <c r="J33" i="1"/>
  <c r="L28" i="7"/>
  <c r="J27" i="1"/>
  <c r="K27" i="1"/>
  <c r="I46" i="1"/>
  <c r="K46" i="1"/>
  <c r="J46" i="1"/>
  <c r="J40" i="1"/>
  <c r="K40" i="1"/>
  <c r="H40" i="7"/>
  <c r="N40" i="7"/>
  <c r="K40" i="7"/>
  <c r="L40" i="7"/>
  <c r="F40" i="7"/>
  <c r="O40" i="7"/>
  <c r="G40" i="7"/>
  <c r="J40" i="7"/>
  <c r="I40" i="7"/>
  <c r="M40" i="7"/>
  <c r="L341" i="1"/>
  <c r="N61" i="7"/>
  <c r="M61" i="7"/>
  <c r="L61" i="7"/>
  <c r="K61" i="7"/>
  <c r="J61" i="7"/>
  <c r="O61" i="7"/>
  <c r="L327" i="1"/>
  <c r="D43" i="7"/>
  <c r="L331" i="1"/>
  <c r="I50" i="1"/>
  <c r="L58" i="1"/>
  <c r="L42" i="1"/>
  <c r="L18" i="1"/>
  <c r="L57" i="1"/>
  <c r="L60" i="1"/>
  <c r="L390" i="1"/>
  <c r="L64" i="1"/>
  <c r="L41" i="1"/>
  <c r="L55" i="1"/>
  <c r="L370" i="1"/>
  <c r="L319" i="1"/>
  <c r="L65" i="1"/>
  <c r="L19" i="1"/>
  <c r="L344" i="1"/>
  <c r="I376" i="1"/>
  <c r="I40" i="1"/>
  <c r="I27" i="1"/>
  <c r="E433" i="1"/>
  <c r="D61" i="2"/>
  <c r="D77" i="2"/>
  <c r="D78" i="2" s="1"/>
  <c r="E36" i="1" s="1"/>
  <c r="E28" i="1"/>
  <c r="D44" i="2"/>
  <c r="E22" i="1" s="1"/>
  <c r="K28" i="7" l="1"/>
  <c r="G28" i="7"/>
  <c r="N28" i="7"/>
  <c r="J28" i="7"/>
  <c r="O28" i="7"/>
  <c r="L40" i="1"/>
  <c r="M28" i="7"/>
  <c r="K28" i="1"/>
  <c r="J28" i="1"/>
  <c r="I22" i="1"/>
  <c r="I24" i="1" s="1"/>
  <c r="J22" i="1"/>
  <c r="K22" i="1"/>
  <c r="K433" i="1"/>
  <c r="J433" i="1"/>
  <c r="I36" i="1"/>
  <c r="K36" i="1"/>
  <c r="J36" i="1"/>
  <c r="L392" i="1"/>
  <c r="I52" i="1"/>
  <c r="L50" i="1"/>
  <c r="D58" i="7"/>
  <c r="E58" i="7"/>
  <c r="H58" i="7"/>
  <c r="F58" i="7"/>
  <c r="G58" i="7"/>
  <c r="I58" i="7"/>
  <c r="D63" i="2"/>
  <c r="E32" i="1" s="1"/>
  <c r="I433" i="1"/>
  <c r="I441" i="1" s="1"/>
  <c r="C83" i="7" s="1"/>
  <c r="C85" i="7" s="1"/>
  <c r="L21" i="1"/>
  <c r="L47" i="1"/>
  <c r="L376" i="1"/>
  <c r="L45" i="1"/>
  <c r="L27" i="1"/>
  <c r="L44" i="1"/>
  <c r="L16" i="1"/>
  <c r="L33" i="1"/>
  <c r="L46" i="1"/>
  <c r="L49" i="1"/>
  <c r="I28" i="1"/>
  <c r="I29" i="1" s="1"/>
  <c r="C17" i="7" s="1"/>
  <c r="C19" i="7" s="1"/>
  <c r="C14" i="7" l="1"/>
  <c r="C16" i="7" s="1"/>
  <c r="F16" i="7"/>
  <c r="L16" i="7"/>
  <c r="I16" i="7"/>
  <c r="O16" i="7"/>
  <c r="M16" i="7"/>
  <c r="G16" i="7"/>
  <c r="H16" i="7"/>
  <c r="K16" i="7"/>
  <c r="N16" i="7"/>
  <c r="E16" i="7"/>
  <c r="J16" i="7"/>
  <c r="E19" i="7"/>
  <c r="K19" i="7"/>
  <c r="H19" i="7"/>
  <c r="N19" i="7"/>
  <c r="F19" i="7"/>
  <c r="O19" i="7"/>
  <c r="I19" i="7"/>
  <c r="J19" i="7"/>
  <c r="M19" i="7"/>
  <c r="G19" i="7"/>
  <c r="L19" i="7"/>
  <c r="C23" i="7"/>
  <c r="C25" i="7" s="1"/>
  <c r="I25" i="7" s="1"/>
  <c r="J32" i="1"/>
  <c r="K32" i="1"/>
  <c r="M88" i="7"/>
  <c r="M85" i="7"/>
  <c r="J88" i="7"/>
  <c r="J85" i="7"/>
  <c r="N85" i="7"/>
  <c r="O88" i="7"/>
  <c r="K85" i="7"/>
  <c r="L88" i="7"/>
  <c r="O85" i="7"/>
  <c r="L85" i="7"/>
  <c r="K88" i="7"/>
  <c r="I32" i="1"/>
  <c r="L28" i="1"/>
  <c r="L433" i="1"/>
  <c r="L36" i="1"/>
  <c r="L22" i="1"/>
  <c r="D19" i="7"/>
  <c r="E25" i="7" l="1"/>
  <c r="N25" i="7"/>
  <c r="K25" i="7"/>
  <c r="O25" i="7"/>
  <c r="M25" i="7"/>
  <c r="D25" i="7"/>
  <c r="J25" i="7"/>
  <c r="L25" i="7"/>
  <c r="F25" i="7"/>
  <c r="G25" i="7"/>
  <c r="H25" i="7"/>
  <c r="I88" i="7"/>
  <c r="H88" i="7"/>
  <c r="G88" i="7"/>
  <c r="F88" i="7"/>
  <c r="E88" i="7"/>
  <c r="D88" i="7"/>
  <c r="F85" i="7"/>
  <c r="G85" i="7"/>
  <c r="H85" i="7"/>
  <c r="D85" i="7"/>
  <c r="E85" i="7"/>
  <c r="I85" i="7"/>
  <c r="L32" i="1"/>
  <c r="I31" i="7" l="1"/>
  <c r="E31" i="7"/>
  <c r="H31" i="7"/>
  <c r="F31" i="7"/>
  <c r="G31" i="7"/>
  <c r="D31" i="7"/>
  <c r="D28" i="7" l="1"/>
  <c r="H28" i="7"/>
  <c r="I28" i="7"/>
  <c r="E28" i="7"/>
  <c r="D49" i="7" l="1"/>
  <c r="H49" i="7"/>
  <c r="E49" i="7"/>
  <c r="I49" i="7"/>
  <c r="F49" i="7"/>
  <c r="G49" i="7"/>
  <c r="D34" i="7" l="1"/>
  <c r="I34" i="7"/>
  <c r="E34" i="7"/>
  <c r="H34" i="7"/>
  <c r="F34" i="7"/>
  <c r="G34" i="7"/>
  <c r="D434" i="1"/>
  <c r="D435" i="1"/>
  <c r="D432" i="1" s="1"/>
  <c r="D437" i="1"/>
  <c r="A1029" i="2"/>
  <c r="B901" i="2" l="1"/>
  <c r="B905" i="2"/>
  <c r="A913" i="2" l="1"/>
  <c r="B913" i="2"/>
  <c r="A920" i="2"/>
  <c r="B920" i="2"/>
  <c r="A910" i="2"/>
  <c r="A876" i="2"/>
  <c r="B876" i="2"/>
  <c r="A811" i="2"/>
  <c r="B707" i="2"/>
  <c r="A707" i="2"/>
  <c r="I386" i="1" l="1"/>
  <c r="C65" i="7" s="1"/>
  <c r="C67" i="7" s="1"/>
  <c r="L67" i="7" l="1"/>
  <c r="O67" i="7"/>
  <c r="M67" i="7"/>
  <c r="J67" i="7"/>
  <c r="N67" i="7"/>
  <c r="K67" i="7"/>
  <c r="D67" i="7"/>
  <c r="H67" i="7"/>
  <c r="E67" i="7"/>
  <c r="G67" i="7"/>
  <c r="I67" i="7"/>
  <c r="F67" i="7"/>
  <c r="B590" i="2"/>
  <c r="A590" i="2"/>
  <c r="D61" i="7" l="1"/>
  <c r="H61" i="7"/>
  <c r="E61" i="7"/>
  <c r="I61" i="7"/>
  <c r="F61" i="7"/>
  <c r="G61" i="7"/>
  <c r="A723" i="2"/>
  <c r="B723" i="2"/>
  <c r="A726" i="2"/>
  <c r="B726" i="2"/>
  <c r="B730" i="2"/>
  <c r="B718" i="2"/>
  <c r="A718" i="2"/>
  <c r="B582" i="2" l="1"/>
  <c r="B206" i="2" l="1"/>
  <c r="A206" i="2"/>
  <c r="B213" i="2"/>
  <c r="B237" i="2"/>
  <c r="B248" i="2"/>
  <c r="A167" i="2"/>
  <c r="A189" i="2"/>
  <c r="A213" i="2"/>
  <c r="B143" i="2"/>
  <c r="A143" i="2"/>
  <c r="B104" i="2" l="1"/>
  <c r="A104" i="2"/>
  <c r="B132" i="2"/>
  <c r="A132" i="2"/>
  <c r="B127" i="2"/>
  <c r="A127" i="2"/>
  <c r="E40" i="7" l="1"/>
  <c r="D40" i="7"/>
  <c r="B86" i="2"/>
  <c r="B108" i="2"/>
  <c r="B112" i="2"/>
  <c r="A86" i="2"/>
  <c r="A93" i="2"/>
  <c r="A108" i="2"/>
  <c r="A112" i="2"/>
  <c r="A116" i="2"/>
  <c r="B81" i="2"/>
  <c r="A81" i="2"/>
  <c r="A72" i="2" l="1"/>
  <c r="A76" i="2"/>
  <c r="B60" i="2"/>
  <c r="A20" i="2"/>
  <c r="B20" i="2"/>
  <c r="B23" i="2"/>
  <c r="B29" i="2"/>
  <c r="B17" i="2"/>
  <c r="A17" i="2"/>
  <c r="D16" i="7" l="1"/>
  <c r="D46" i="7" l="1"/>
  <c r="G46" i="7" l="1"/>
  <c r="F46" i="7"/>
  <c r="H46" i="7"/>
  <c r="E46" i="7"/>
  <c r="I46" i="7"/>
  <c r="F52" i="7"/>
  <c r="G52" i="7"/>
  <c r="E52" i="7"/>
  <c r="H52" i="7"/>
  <c r="I52" i="7"/>
  <c r="D52" i="7"/>
  <c r="D725" i="2" l="1"/>
  <c r="E377" i="1" l="1"/>
  <c r="E378" i="1"/>
  <c r="K377" i="1" l="1"/>
  <c r="J377" i="1"/>
  <c r="K378" i="1"/>
  <c r="J378" i="1"/>
  <c r="I377" i="1"/>
  <c r="E420" i="1"/>
  <c r="D1001" i="2"/>
  <c r="E423" i="1" s="1"/>
  <c r="I378" i="1"/>
  <c r="L377" i="1" l="1"/>
  <c r="K420" i="1"/>
  <c r="J420" i="1"/>
  <c r="K423" i="1"/>
  <c r="J423" i="1"/>
  <c r="I381" i="1"/>
  <c r="C62" i="7" s="1"/>
  <c r="C64" i="7" s="1"/>
  <c r="L378" i="1"/>
  <c r="I423" i="1"/>
  <c r="I420" i="1"/>
  <c r="L64" i="7" l="1"/>
  <c r="O64" i="7"/>
  <c r="J64" i="7"/>
  <c r="N64" i="7"/>
  <c r="K64" i="7"/>
  <c r="M64" i="7"/>
  <c r="I427" i="1"/>
  <c r="C80" i="7" s="1"/>
  <c r="C82" i="7" s="1"/>
  <c r="I64" i="7"/>
  <c r="L423" i="1"/>
  <c r="L420" i="1"/>
  <c r="M82" i="7" l="1"/>
  <c r="J82" i="7"/>
  <c r="K82" i="7"/>
  <c r="O82" i="7"/>
  <c r="L82" i="7"/>
  <c r="N82" i="7"/>
  <c r="F64" i="7"/>
  <c r="E64" i="7"/>
  <c r="H64" i="7"/>
  <c r="D64" i="7"/>
  <c r="G82" i="7"/>
  <c r="G64" i="7"/>
  <c r="F82" i="7" l="1"/>
  <c r="I82" i="7"/>
  <c r="E82" i="7"/>
  <c r="H82" i="7"/>
  <c r="D82" i="7"/>
  <c r="E389" i="1" l="1"/>
  <c r="D75" i="2"/>
  <c r="E35" i="1" s="1"/>
  <c r="J35" i="1" l="1"/>
  <c r="K35" i="1"/>
  <c r="K389" i="1"/>
  <c r="J389" i="1"/>
  <c r="I35" i="1"/>
  <c r="I37" i="1" s="1"/>
  <c r="I389" i="1"/>
  <c r="I394" i="1" s="1"/>
  <c r="C68" i="7" s="1"/>
  <c r="C70" i="7" s="1"/>
  <c r="L389" i="1" l="1"/>
  <c r="C20" i="7"/>
  <c r="C22" i="7" s="1"/>
  <c r="K22" i="7" s="1"/>
  <c r="I460" i="1"/>
  <c r="I461" i="1" s="1"/>
  <c r="I462" i="1" s="1"/>
  <c r="L70" i="7"/>
  <c r="O70" i="7"/>
  <c r="M70" i="7"/>
  <c r="K70" i="7"/>
  <c r="N70" i="7"/>
  <c r="J70" i="7"/>
  <c r="N22" i="7"/>
  <c r="L22" i="7"/>
  <c r="H70" i="7"/>
  <c r="D70" i="7"/>
  <c r="I70" i="7"/>
  <c r="G70" i="7"/>
  <c r="F70" i="7"/>
  <c r="E70" i="7"/>
  <c r="I458" i="1"/>
  <c r="L35" i="1"/>
  <c r="L92" i="7" l="1"/>
  <c r="O22" i="7"/>
  <c r="O92" i="7" s="1"/>
  <c r="M22" i="7"/>
  <c r="J22" i="7"/>
  <c r="E22" i="7"/>
  <c r="M92" i="7"/>
  <c r="N92" i="7"/>
  <c r="J92" i="7"/>
  <c r="K92" i="7"/>
  <c r="I459" i="1"/>
  <c r="G22" i="7"/>
  <c r="G92" i="7" s="1"/>
  <c r="D22" i="7"/>
  <c r="D92" i="7" s="1"/>
  <c r="D93" i="7" s="1"/>
  <c r="E92" i="7"/>
  <c r="F22" i="7"/>
  <c r="F92" i="7" s="1"/>
  <c r="H22" i="7"/>
  <c r="H92" i="7" s="1"/>
  <c r="I22" i="7"/>
  <c r="I92" i="7" s="1"/>
  <c r="M413" i="1" l="1"/>
  <c r="K90" i="7"/>
  <c r="L90" i="7"/>
  <c r="N90" i="7"/>
  <c r="J90" i="7"/>
  <c r="M90" i="7"/>
  <c r="E93" i="7"/>
  <c r="F93" i="7" s="1"/>
  <c r="G93" i="7" s="1"/>
  <c r="H93" i="7" s="1"/>
  <c r="I93" i="7" s="1"/>
  <c r="J93" i="7" s="1"/>
  <c r="K93" i="7" s="1"/>
  <c r="L93" i="7" s="1"/>
  <c r="M93" i="7" s="1"/>
  <c r="N93" i="7" s="1"/>
  <c r="O93" i="7" s="1"/>
  <c r="D90" i="7" l="1"/>
  <c r="D91" i="7" s="1"/>
  <c r="F90" i="7"/>
  <c r="G90" i="7"/>
  <c r="E90" i="7"/>
  <c r="H90" i="7"/>
  <c r="E91" i="7" l="1"/>
  <c r="F91" i="7" s="1"/>
  <c r="G91" i="7" s="1"/>
  <c r="H91" i="7" s="1"/>
  <c r="I91" i="7" s="1"/>
  <c r="J91" i="7" s="1"/>
  <c r="K91" i="7" s="1"/>
  <c r="L91" i="7" s="1"/>
  <c r="M91" i="7" s="1"/>
  <c r="N91" i="7" s="1"/>
  <c r="O91" i="7" s="1"/>
</calcChain>
</file>

<file path=xl/sharedStrings.xml><?xml version="1.0" encoding="utf-8"?>
<sst xmlns="http://schemas.openxmlformats.org/spreadsheetml/2006/main" count="4244" uniqueCount="1495">
  <si>
    <t>PREFEITURA MUNICIPAL DE CATALÃO</t>
  </si>
  <si>
    <t>SECRETARIA MUNICIPAL DE OBRAS</t>
  </si>
  <si>
    <t>ITEM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</si>
  <si>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</si>
  <si>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</si>
  <si>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</si>
  <si>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</si>
  <si>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</si>
  <si>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</si>
  <si>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</si>
  <si>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SERVIÇOS PRELIMINARES</t>
  </si>
  <si>
    <t>1.1</t>
  </si>
  <si>
    <t xml:space="preserve"> m2 </t>
  </si>
  <si>
    <t>1.2</t>
  </si>
  <si>
    <t>1.3</t>
  </si>
  <si>
    <t xml:space="preserve">m2 </t>
  </si>
  <si>
    <t>1.4</t>
  </si>
  <si>
    <t>1.5</t>
  </si>
  <si>
    <t>TRANSPORTES</t>
  </si>
  <si>
    <t>2.1</t>
  </si>
  <si>
    <t>SERVICO EM TERRA</t>
  </si>
  <si>
    <t xml:space="preserve">GOINFRA </t>
  </si>
  <si>
    <t>FUNDACOES E SONDAGENS</t>
  </si>
  <si>
    <t>ESTRUTURA</t>
  </si>
  <si>
    <t>INST. ELET./TELEFONICA/CABEAMENTO ESTRUTURADO</t>
  </si>
  <si>
    <t xml:space="preserve">m </t>
  </si>
  <si>
    <t>INSTALAÇÕES HIDROSSANITÁRIAS</t>
  </si>
  <si>
    <t>ALVENARIAS E DIVISORIAS</t>
  </si>
  <si>
    <t>IMPERMEABILIZACAO</t>
  </si>
  <si>
    <t>GRUPO DE SERVIÇO: 176- ESTRUTURA DE MADEIRA</t>
  </si>
  <si>
    <t>ESTRUTURA DE MADEIRA</t>
  </si>
  <si>
    <t>ESTRUTURAS METALICAS</t>
  </si>
  <si>
    <t>COBERTURAS</t>
  </si>
  <si>
    <t xml:space="preserve">ESQUADRIAS DE MADEIRA </t>
  </si>
  <si>
    <t>ESQUADRIAS METÁLICAS</t>
  </si>
  <si>
    <t>VIDROS</t>
  </si>
  <si>
    <t>REVESTIMENTO DE PAREDES</t>
  </si>
  <si>
    <t>FORROS</t>
  </si>
  <si>
    <t>REVESTIMENTO DE PISO</t>
  </si>
  <si>
    <t>FERRAGENS</t>
  </si>
  <si>
    <t>ADMINISTRAÇÃO - MENSALISTAS</t>
  </si>
  <si>
    <t>PINTURA</t>
  </si>
  <si>
    <t>DIVERSOS</t>
  </si>
  <si>
    <t>TOTAL</t>
  </si>
  <si>
    <t>SINAPI</t>
  </si>
  <si>
    <t>LOCACAO DE CONTAINER 2,30 X 6,00 M, ALT. 2,50 M, PARA ESCRITORIO, SEM DIVISORIAS INTERNAS E SEM SANITARIO</t>
  </si>
  <si>
    <t xml:space="preserve">PLACA DE OBRA PLOTADA EM CHAPA METÁLICA 26 , AFIXADA EM CAVALETES DE MADEIRA DE LEI (VIGOTAS 6X12CM) - PADRÃO GOINFRA </t>
  </si>
  <si>
    <t>1.6</t>
  </si>
  <si>
    <t>1.7</t>
  </si>
  <si>
    <t>Quantidade</t>
  </si>
  <si>
    <t>Duração da obra</t>
  </si>
  <si>
    <t>Meses</t>
  </si>
  <si>
    <t xml:space="preserve">m3 </t>
  </si>
  <si>
    <t xml:space="preserve">ESCAVACAO MANUAL DE VALAS &lt; 1 MTS. (OBRAS CIVIS) </t>
  </si>
  <si>
    <t>3.1</t>
  </si>
  <si>
    <t>3.2</t>
  </si>
  <si>
    <t>3.3</t>
  </si>
  <si>
    <t>3.4</t>
  </si>
  <si>
    <t>Largura</t>
  </si>
  <si>
    <t>Altura</t>
  </si>
  <si>
    <t xml:space="preserve">ESTACA A TRADO DIAM.30 CM SEM FERRO </t>
  </si>
  <si>
    <t xml:space="preserve">ESCAVACAO MANUAL DE VALAS (SAPATAS/BLOCOS) </t>
  </si>
  <si>
    <t xml:space="preserve">PREPARO COM BETONEIRA E TRANSPORTE MANUAL DE CONCRETO FCK-20 - (O.C.) </t>
  </si>
  <si>
    <t>m3</t>
  </si>
  <si>
    <t xml:space="preserve">LANÇAMENTO/APLICAÇÃO/ADENSAMENTO DE CONCRETO EM FUNDAÇÃO- (O.C.) </t>
  </si>
  <si>
    <t xml:space="preserve">Kg </t>
  </si>
  <si>
    <t>ACO CA-50A - 10,0 MM (3/8") - (OBRAS CIVIS)</t>
  </si>
  <si>
    <t xml:space="preserve"> Kg </t>
  </si>
  <si>
    <t>4.1</t>
  </si>
  <si>
    <t>4.2</t>
  </si>
  <si>
    <t>4.3</t>
  </si>
  <si>
    <t>4.4</t>
  </si>
  <si>
    <t>4.5</t>
  </si>
  <si>
    <t>4.6</t>
  </si>
  <si>
    <t>4.7</t>
  </si>
  <si>
    <t>6.1</t>
  </si>
  <si>
    <t>6.2</t>
  </si>
  <si>
    <t>6.6</t>
  </si>
  <si>
    <t>6.7</t>
  </si>
  <si>
    <t>6.3</t>
  </si>
  <si>
    <t>6.4</t>
  </si>
  <si>
    <t>6.5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</si>
  <si>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</si>
  <si>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</si>
  <si>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</si>
  <si>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</si>
  <si>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</si>
  <si>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</si>
  <si>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</si>
  <si>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</si>
  <si>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</si>
  <si>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</si>
  <si>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</si>
  <si>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</si>
  <si>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</si>
  <si>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</si>
  <si>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</si>
  <si>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</si>
  <si>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</si>
  <si>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</si>
  <si>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</si>
  <si>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</si>
  <si>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</si>
  <si>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</si>
  <si>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</si>
  <si>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</si>
  <si>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</si>
  <si>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</si>
  <si>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m</t>
  </si>
  <si>
    <t>7.1</t>
  </si>
  <si>
    <t>7.2</t>
  </si>
  <si>
    <t>7.3</t>
  </si>
  <si>
    <t>8.2</t>
  </si>
  <si>
    <t>7.6</t>
  </si>
  <si>
    <t>7.7</t>
  </si>
  <si>
    <t>7.8</t>
  </si>
  <si>
    <t>7.9</t>
  </si>
  <si>
    <t>7.10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</si>
  <si>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</si>
  <si>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</si>
  <si>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</si>
  <si>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</si>
  <si>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</si>
  <si>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</si>
  <si>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</si>
  <si>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</si>
  <si>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</si>
  <si>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</si>
  <si>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</si>
  <si>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</si>
  <si>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</si>
  <si>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</si>
  <si>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</si>
  <si>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</si>
  <si>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</si>
  <si>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</si>
  <si>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</si>
  <si>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</si>
  <si>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</si>
  <si>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</si>
  <si>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</si>
  <si>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</si>
  <si>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</si>
  <si>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</si>
  <si>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</si>
  <si>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</si>
  <si>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</si>
  <si>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</si>
  <si>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</si>
  <si>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</si>
  <si>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</si>
  <si>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</si>
  <si>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</si>
  <si>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</si>
  <si>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</si>
  <si>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</si>
  <si>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</si>
  <si>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</si>
  <si>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</si>
  <si>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</si>
  <si>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</si>
  <si>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</si>
  <si>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</si>
  <si>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7.60</t>
  </si>
  <si>
    <t>7.61</t>
  </si>
  <si>
    <t>7.62</t>
  </si>
  <si>
    <t>7.63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</si>
  <si>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</si>
  <si>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</si>
  <si>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</si>
  <si>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</si>
  <si>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</si>
  <si>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</si>
  <si>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</si>
  <si>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</si>
  <si>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</si>
  <si>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</si>
  <si>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</si>
  <si>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</si>
  <si>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</si>
  <si>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</si>
  <si>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</si>
  <si>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</si>
  <si>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</si>
  <si>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INSTALACOES ESPECIAIS</t>
  </si>
  <si>
    <t>8.1</t>
  </si>
  <si>
    <t>8.3</t>
  </si>
  <si>
    <t>8.4</t>
  </si>
  <si>
    <t>8.5</t>
  </si>
  <si>
    <t>8.6</t>
  </si>
  <si>
    <t>9.1</t>
  </si>
  <si>
    <t xml:space="preserve">ACO CA 50-A - 8,0 MM (5/16") - (OBRAS CIVIS) </t>
  </si>
  <si>
    <t>4.8</t>
  </si>
  <si>
    <t>VERGA/CONTRAVERGA EM CONCRETO ARMADO FCK = 20 MPA</t>
  </si>
  <si>
    <t xml:space="preserve"> m3 </t>
  </si>
  <si>
    <t>m2</t>
  </si>
  <si>
    <t xml:space="preserve">ACO CA-50A - 10,0 MM (3/8") - (OBRAS CIVIS) </t>
  </si>
  <si>
    <t xml:space="preserve">PREPARO COM BETONEIRA E TRANSPORTE MANUAL DE CONCRETO FCK=30 MPA </t>
  </si>
  <si>
    <t>FORRO EM LAJE PRE-MOLDADA INC.CAPEAMENTO/FERR.DISTRIB./ESCORAMENTO E FORMA/DESFORMA</t>
  </si>
  <si>
    <t xml:space="preserve">FORMA TABUA PINHO P/FUNDACOES U=3V - (OBRAS CIVIS) </t>
  </si>
  <si>
    <t>4.9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</si>
  <si>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</si>
  <si>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</si>
  <si>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</si>
  <si>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</si>
  <si>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</si>
  <si>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</si>
  <si>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</si>
  <si>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</si>
  <si>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IMPERMEABILIZACAO VIGAS BALDRAMES E=2,0 CM </t>
  </si>
  <si>
    <t xml:space="preserve">IMPERMEABILIZAÇÃO-REBAIXO BANHEIRO COM 4 DEMÃOS DE EMULSÃO ASFÁLTICA </t>
  </si>
  <si>
    <t>10.1</t>
  </si>
  <si>
    <t>10.2</t>
  </si>
  <si>
    <t>10.3</t>
  </si>
  <si>
    <t>5.9</t>
  </si>
  <si>
    <t>ACO CA-50 A - 8,0 MM (5/16") - (OBRAS CIVIS)</t>
  </si>
  <si>
    <t>11.1</t>
  </si>
  <si>
    <t>CALHA DE CHAPA GALVANIZADA</t>
  </si>
  <si>
    <t xml:space="preserve">RUFO DE CHAPA GALVANIZADA </t>
  </si>
  <si>
    <t>13.1</t>
  </si>
  <si>
    <t>13.4</t>
  </si>
  <si>
    <t>12.1</t>
  </si>
  <si>
    <t>7.86</t>
  </si>
  <si>
    <t>7.87</t>
  </si>
  <si>
    <t>7.88</t>
  </si>
  <si>
    <t>7.89</t>
  </si>
  <si>
    <t>7.90</t>
  </si>
  <si>
    <t>7.91</t>
  </si>
  <si>
    <t xml:space="preserve">CHAPISCO COMUM </t>
  </si>
  <si>
    <t xml:space="preserve">REVESTIMENTO COM CERÂMICA </t>
  </si>
  <si>
    <t>17.1</t>
  </si>
  <si>
    <t>17.2</t>
  </si>
  <si>
    <t>17.3</t>
  </si>
  <si>
    <t>17.4</t>
  </si>
  <si>
    <t xml:space="preserve">PORTA LISA 80x210 C/PORTAL E ALISAR S/FERRAGENS </t>
  </si>
  <si>
    <t>14.1</t>
  </si>
  <si>
    <t>15.1</t>
  </si>
  <si>
    <t>15.2</t>
  </si>
  <si>
    <t>15.5</t>
  </si>
  <si>
    <t>15.6</t>
  </si>
  <si>
    <t xml:space="preserve">VIDRO LISO 4 MM - COLOCADO </t>
  </si>
  <si>
    <t>16.1</t>
  </si>
  <si>
    <t xml:space="preserve">GESSO CORRIDO EM TETO </t>
  </si>
  <si>
    <t>18.1</t>
  </si>
  <si>
    <t>18.2</t>
  </si>
  <si>
    <t xml:space="preserve">BARRA DE APOIO EM AÇO INOX - 40 CM </t>
  </si>
  <si>
    <t xml:space="preserve">BARRA DE APOIO EM AÇO INOX - 80 CM </t>
  </si>
  <si>
    <t xml:space="preserve">DOBRADICA 3" x 3 1/2" FERRO POLIDO </t>
  </si>
  <si>
    <t>20.1</t>
  </si>
  <si>
    <t>20.2</t>
  </si>
  <si>
    <t>20.3</t>
  </si>
  <si>
    <t>20.4</t>
  </si>
  <si>
    <t xml:space="preserve">H </t>
  </si>
  <si>
    <t>21.1</t>
  </si>
  <si>
    <t>22.1</t>
  </si>
  <si>
    <t>22.2</t>
  </si>
  <si>
    <t>22.3</t>
  </si>
  <si>
    <t xml:space="preserve">GRANITINA 8MM FUNDIDA COM CONTRAPISO (1CI:3ARML) E=2CM E JUNTA PLASTICA 27MM </t>
  </si>
  <si>
    <t xml:space="preserve">RODAPÉ FUNDIDO DE GRANITINA 7CM </t>
  </si>
  <si>
    <t>19.1</t>
  </si>
  <si>
    <t>19.2</t>
  </si>
  <si>
    <t>19.3</t>
  </si>
  <si>
    <t>19.4</t>
  </si>
  <si>
    <t>19.5</t>
  </si>
  <si>
    <t>23.1</t>
  </si>
  <si>
    <t>23.2</t>
  </si>
  <si>
    <t>23.3</t>
  </si>
  <si>
    <t>23.4</t>
  </si>
  <si>
    <t>23.5</t>
  </si>
  <si>
    <t>23.6</t>
  </si>
  <si>
    <t>23.7</t>
  </si>
  <si>
    <t xml:space="preserve"> </t>
  </si>
  <si>
    <t>_________________________________________</t>
  </si>
  <si>
    <t xml:space="preserve">LEONARDO MARTINS DE CASTRO TEIXEIRA </t>
  </si>
  <si>
    <t>SECRETÁRIO MUNICIPAL DE OBRAS</t>
  </si>
  <si>
    <t>ENGENHEIRO CIVIL</t>
  </si>
  <si>
    <t>CREA 7455/D-GO</t>
  </si>
  <si>
    <t>BDI</t>
  </si>
  <si>
    <t>und.</t>
  </si>
  <si>
    <t>kg</t>
  </si>
  <si>
    <t>mês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</si>
  <si>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</si>
  <si>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</si>
  <si>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</si>
  <si>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</si>
  <si>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</si>
  <si>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</si>
  <si>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</si>
  <si>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</si>
  <si>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</si>
  <si>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</si>
  <si>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</si>
  <si>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2.2</t>
  </si>
  <si>
    <t>TRANSPORTE DE ENTULHO CAÇAMBA ESTACIONÁRIA INCLUSO A CARGA MANUAL</t>
  </si>
  <si>
    <t>TRANSPORTE DE ENTULHO EM CAMINHÃO SEM CARGA</t>
  </si>
  <si>
    <t>REBOCO (1 CALH:4 ARFC+100kgCI/M3)</t>
  </si>
  <si>
    <t xml:space="preserve">EMBOÇO (1CI:4 ARML) </t>
  </si>
  <si>
    <t>PAVIMENTO INTERTRAVADO ESPESSURA DE 6CM E FCK = 35 MPA</t>
  </si>
  <si>
    <t xml:space="preserve">SINAPI - I </t>
  </si>
  <si>
    <t>ARGILA OU BARRO PARA ATERRO/REATERRO (COM TRANSPORTE ATÉ 10 KM)</t>
  </si>
  <si>
    <t>PINTURA TEXTURIZADA C/SELADOR ACRILICO</t>
  </si>
  <si>
    <t>TABELA</t>
  </si>
  <si>
    <t>CÓD.</t>
  </si>
  <si>
    <t>SETOR</t>
  </si>
  <si>
    <t>PROCESSO</t>
  </si>
  <si>
    <t>OBJETO</t>
  </si>
  <si>
    <t>ENDEREÇO</t>
  </si>
  <si>
    <t>TABELAS</t>
  </si>
  <si>
    <t xml:space="preserve">DATA </t>
  </si>
  <si>
    <t xml:space="preserve">ORÇAMENTO SINTÉTICO </t>
  </si>
  <si>
    <t>TOTAL DO GRUPO</t>
  </si>
  <si>
    <t>CUSTO TOTAL MÃO DE OBRA</t>
  </si>
  <si>
    <t>CUSTO TOTAL MATERIAIS</t>
  </si>
  <si>
    <t>CUSTO TOTAL</t>
  </si>
  <si>
    <t>VALOR TOTAL COM BDI</t>
  </si>
  <si>
    <t>RESPONSABILIDADE TÉCNICA</t>
  </si>
  <si>
    <t>DESCRIÇÃO</t>
  </si>
  <si>
    <t>UNID.</t>
  </si>
  <si>
    <t>MEMÓRIA CÁLCULO</t>
  </si>
  <si>
    <t>Duração da Obra</t>
  </si>
  <si>
    <t>SERVIÇOS</t>
  </si>
  <si>
    <t>PERCENTUAL GLOBAL MENSAL</t>
  </si>
  <si>
    <t>PERCENTUAL GLOBAL ACUMULADO</t>
  </si>
  <si>
    <t>VALOR MENSAL</t>
  </si>
  <si>
    <t>VALOR ACUMULADO</t>
  </si>
  <si>
    <t>MEMORIAL DE CÁLCULO</t>
  </si>
  <si>
    <t>Dimensão padrão: Largura x Altura</t>
  </si>
  <si>
    <t>CONSUMO DE ÁGUA</t>
  </si>
  <si>
    <t>Volume consumo: coef. X área construída</t>
  </si>
  <si>
    <t>Coeficiente</t>
  </si>
  <si>
    <t>m3/m2</t>
  </si>
  <si>
    <t>CONSUMO DE ENERGIA ELÉTRICA</t>
  </si>
  <si>
    <t>kwh/m2</t>
  </si>
  <si>
    <t>Potência consumo: coef. X área construída</t>
  </si>
  <si>
    <t>%</t>
  </si>
  <si>
    <t>TRANSPORTE DE ENTULHO EM CAÇAMBA ESTACIONÁRIA INCLUSO A CARGA MANUAL</t>
  </si>
  <si>
    <t>Entulho gerado durante a obra</t>
  </si>
  <si>
    <t>Entulho gerado limpeza terreno</t>
  </si>
  <si>
    <t>Espessura da limpeza</t>
  </si>
  <si>
    <t>SERVIÇOS EM TERRA</t>
  </si>
  <si>
    <t>Comprimento das baldrames: projeto estrutural</t>
  </si>
  <si>
    <t>Comprimento Viga baldrame</t>
  </si>
  <si>
    <t>Área a ser nivelada</t>
  </si>
  <si>
    <t>Altura média do nivelamento</t>
  </si>
  <si>
    <t>Área Seção Transversal das vigas (14 x 40) + 15,00 cm para cada lado</t>
  </si>
  <si>
    <t>APILOAMENTO MECÂNICO</t>
  </si>
  <si>
    <t>ESPALHAMENTO MECANICO</t>
  </si>
  <si>
    <t>Área do terreno</t>
  </si>
  <si>
    <t>FUNDAÇÕES E SONDAGENS</t>
  </si>
  <si>
    <t>comprimento da estaca x quantidade de estacas</t>
  </si>
  <si>
    <t>Comprimento estacas</t>
  </si>
  <si>
    <t>volume total dos blocos</t>
  </si>
  <si>
    <t>APILOAMENTO MECÂNICO (BLOCOS/SAPATAS)</t>
  </si>
  <si>
    <t>área de base dos blocos</t>
  </si>
  <si>
    <t>área total de formas: blocos + baldrames</t>
  </si>
  <si>
    <t>volume concreto: (volume bloco x quantidade blocos) + volume vigas baldrame</t>
  </si>
  <si>
    <t>massa linear</t>
  </si>
  <si>
    <t>kg/m</t>
  </si>
  <si>
    <t>INST. ELÉT./TELEFÔNICA/CABEAMENTO ESTRUTURADO</t>
  </si>
  <si>
    <t>INSTALAÇÕES HIDRO-SANITÁRIAS</t>
  </si>
  <si>
    <t>ALVENARIAS E DIVISÓRIAS</t>
  </si>
  <si>
    <t>IMPERMEABILIZAÇÃO</t>
  </si>
  <si>
    <t>ESTRUTURAS METÁLICAS</t>
  </si>
  <si>
    <t>ESQUADRIAS DE MADEIRAS</t>
  </si>
  <si>
    <t>áreas faces das vigas baldrames</t>
  </si>
  <si>
    <t>Comprimento total Vigas baldrame</t>
  </si>
  <si>
    <t>Largura Vigas Baldrames</t>
  </si>
  <si>
    <t>A</t>
  </si>
  <si>
    <t>B</t>
  </si>
  <si>
    <t>C</t>
  </si>
  <si>
    <t>TOTAL = (2xAxB) + (AxC)</t>
  </si>
  <si>
    <t>área pisos banheiros</t>
  </si>
  <si>
    <t>TOTAL = A + B</t>
  </si>
  <si>
    <t>Área coberta</t>
  </si>
  <si>
    <t>TOTAL = A x B</t>
  </si>
  <si>
    <t>und</t>
  </si>
  <si>
    <t>Comprimento da cumeeira</t>
  </si>
  <si>
    <t>D</t>
  </si>
  <si>
    <t>Largura da platibanda</t>
  </si>
  <si>
    <t>Quantidade conforme projeto arquitetônico</t>
  </si>
  <si>
    <t>largura x altura</t>
  </si>
  <si>
    <t>área de janelas</t>
  </si>
  <si>
    <t>Número de faces</t>
  </si>
  <si>
    <t>área alvenaria x nº faces</t>
  </si>
  <si>
    <t>área do emboço - área revestimento cerâmico</t>
  </si>
  <si>
    <t>TOTAL = A - B</t>
  </si>
  <si>
    <t>revestimento cerâmico</t>
  </si>
  <si>
    <t>LASTRO DE CONCRETO REGULARIZADO IMPERMEABILIZADO 1:3:6 ESP=5CM (BASE)</t>
  </si>
  <si>
    <t>área de piso total</t>
  </si>
  <si>
    <t>PASSEIO PROTECAO EM CONC.DESEMPEN.5 CM 1:2,5:3,5 ( INCLUSO ESPELHO DE 30CM/ ESCAVAÇÃO/REATERRO/APILOAMENTO/ATERRO INTERNO)</t>
  </si>
  <si>
    <t>área passeio externo</t>
  </si>
  <si>
    <t>19.6</t>
  </si>
  <si>
    <t>19.7</t>
  </si>
  <si>
    <t>quantidade total</t>
  </si>
  <si>
    <t>FECH.(ALAV.) LAFONTE 6236 I /8766- I18 IMAB OU EQUIV</t>
  </si>
  <si>
    <t>quantidade total portas x 3</t>
  </si>
  <si>
    <t>CADEADO 50 MM</t>
  </si>
  <si>
    <t>duração da obra x horas por dias</t>
  </si>
  <si>
    <t>Horas/dias</t>
  </si>
  <si>
    <t>h</t>
  </si>
  <si>
    <t>meses</t>
  </si>
  <si>
    <t>alvenarias face interna</t>
  </si>
  <si>
    <t>EMASSAMENTO/OLEO/ESQUADRIAS MADEIRA</t>
  </si>
  <si>
    <t>PINT.ESMALTE/ESQUAD.FERRO C/FUNDO ANTICOR.</t>
  </si>
  <si>
    <t>área da porta x 3 x quantidade</t>
  </si>
  <si>
    <t>área pintura das portas madeira</t>
  </si>
  <si>
    <t>Perímetro da divisa</t>
  </si>
  <si>
    <t>Altura do muro</t>
  </si>
  <si>
    <t xml:space="preserve">perímetro do muro x altura do muro </t>
  </si>
  <si>
    <t xml:space="preserve">área </t>
  </si>
  <si>
    <t>LIMPEZA FINAL DE OBRA - (OBRAS CIVIS)</t>
  </si>
  <si>
    <t>Área total construída</t>
  </si>
  <si>
    <t>área</t>
  </si>
  <si>
    <t>Placa de inauguração (60 cm x 80 cm)</t>
  </si>
  <si>
    <t>altura fonte x quantidade letras</t>
  </si>
  <si>
    <t>volume total de concreto</t>
  </si>
  <si>
    <t>Vigas baldrames - conforme projeto estrutural</t>
  </si>
  <si>
    <t>ACO CA - 60 - 5,0 MM - (OBRAS CIVIS)</t>
  </si>
  <si>
    <t>Estacas</t>
  </si>
  <si>
    <t>Blocos</t>
  </si>
  <si>
    <t>seção da verga x comprimento</t>
  </si>
  <si>
    <t xml:space="preserve">Pilares (20 x 30): quantidade x altura x nº faces </t>
  </si>
  <si>
    <t xml:space="preserve">Pilares (14 x 30): quantidade x altura x nº faces </t>
  </si>
  <si>
    <t>comprimento aço x massa linear</t>
  </si>
  <si>
    <t>20.5</t>
  </si>
  <si>
    <t>TABELA GOINFRA 142 - CUSTOS DE OBRAS CIVIS - NOVEMBRO/2020 - DESONERADA - DATA BASE: 01/11/2020</t>
  </si>
  <si>
    <t>ANDAIME METALICO FACHADEIRO (ALUGUEL/MES)</t>
  </si>
  <si>
    <t>LANÇAMENTO/APLICAÇÃO/ADENSAMENTO MANUAL DE CONCRETO - (OBRAS CIVIS)</t>
  </si>
  <si>
    <t>área fachada x duração da obra</t>
  </si>
  <si>
    <t xml:space="preserve">área da fachada frontal </t>
  </si>
  <si>
    <t>duração da obra</t>
  </si>
  <si>
    <t>M</t>
  </si>
  <si>
    <t>EST.MAD.TELHA FIBROCIM. COM APOIOS EM LAJES/VIGAS OU PAREDES(SOMENTE TERÇAS) C/FERRAGENS</t>
  </si>
  <si>
    <t>13.2</t>
  </si>
  <si>
    <t>13.3</t>
  </si>
  <si>
    <t>15.3</t>
  </si>
  <si>
    <t>ALVENARIA DE TIJOLO FURADO 1/2 VEZ 14X29X9 - 6 FUROS - ARG. (1CALH:4ARML+100KG DE CI/M3)</t>
  </si>
  <si>
    <t>ESTRUTURAS DE MADEIRA</t>
  </si>
  <si>
    <t>ENCARREGADO - (OBRAS CIVIS)</t>
  </si>
  <si>
    <t>EMASSAMENTO COM MASSA PVA DUAS DEMAOS</t>
  </si>
  <si>
    <t>PLACA DE INAUGURACAO ACO ESCOVADO 80 X 60 CM</t>
  </si>
  <si>
    <t>SUPORTE PARA BANCADA EM FERRO "T" 1/8" X 1 1/4"</t>
  </si>
  <si>
    <t>LETRA CAIXA INOX COLOCADA</t>
  </si>
  <si>
    <t>área projeção da laje</t>
  </si>
  <si>
    <t>COMPOSIÇÃO BDI (BENEFÍCIOS E DISPESAS INDIRETAS)</t>
  </si>
  <si>
    <t>DURAÇÃO</t>
  </si>
  <si>
    <t>1º MÊS</t>
  </si>
  <si>
    <t>2º MÊS</t>
  </si>
  <si>
    <t>3º MÊS</t>
  </si>
  <si>
    <t>4º MÊS</t>
  </si>
  <si>
    <t>5º MÊS</t>
  </si>
  <si>
    <t>6º MÊS</t>
  </si>
  <si>
    <t>par</t>
  </si>
  <si>
    <t>PHILIPJOHN RIBEIRO SILVA</t>
  </si>
  <si>
    <t>CREA 1016927460/D-GO</t>
  </si>
  <si>
    <t>KWH</t>
  </si>
  <si>
    <t>TABELA SINAPI PCI.817.01 - CUSTO DE COMPOSIÇÕES - SINTÉTITICO - NOVEMBRO/2020 - COM DESONERAÇÃO - DATA BASE: 15/12/2020</t>
  </si>
  <si>
    <t>ESQUINA DA RUA ALBINO FELIPE DO NASCIMENTO COM RUA MOZART SALVIANO, BAIRRO MARIA AMÉLIA II (ÁREA DE EQUIPAMENTO COMUNITÁRIO I)</t>
  </si>
  <si>
    <t xml:space="preserve">Un </t>
  </si>
  <si>
    <t>1.8</t>
  </si>
  <si>
    <t>Quantidade de árvores a ser retiradas</t>
  </si>
  <si>
    <t xml:space="preserve">Quantidade de árvores a ser retiradas </t>
  </si>
  <si>
    <t>CORTE/DESTOC./RETIRADA/REATERRO (MANUAIS) DE ÁRVORE GRANDE PORTE ( H = 8 A 10 M / DIÂMETRO TRONCO 60 A 70CM E COPA DE 10 A 13M ) C/TRANSP.ATE CB. E CARGA</t>
  </si>
  <si>
    <t xml:space="preserve">Área do Terreno: </t>
  </si>
  <si>
    <t>Área construída</t>
  </si>
  <si>
    <t>Área - Guarita</t>
  </si>
  <si>
    <t>Área - Resíduos</t>
  </si>
  <si>
    <t>Área - Central de manutenção</t>
  </si>
  <si>
    <t>Área - UPA</t>
  </si>
  <si>
    <t>Percentual da área construída</t>
  </si>
  <si>
    <t xml:space="preserve">Nivelamento do terreno </t>
  </si>
  <si>
    <t>TOTAL=AxB</t>
  </si>
  <si>
    <t>7.92</t>
  </si>
  <si>
    <t>7.93</t>
  </si>
  <si>
    <t>7.94</t>
  </si>
  <si>
    <t>7.95</t>
  </si>
  <si>
    <t>7.96</t>
  </si>
  <si>
    <t>7.97</t>
  </si>
  <si>
    <t>7.98</t>
  </si>
  <si>
    <t>7.99</t>
  </si>
  <si>
    <t>7.100</t>
  </si>
  <si>
    <t>GOINFRA - I</t>
  </si>
  <si>
    <t>H687</t>
  </si>
  <si>
    <t>SINAPI - I</t>
  </si>
  <si>
    <t>7.101</t>
  </si>
  <si>
    <t>7.102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</si>
  <si>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</si>
  <si>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</si>
  <si>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</si>
  <si>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</si>
  <si>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</si>
  <si>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</si>
  <si>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</si>
  <si>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</si>
  <si>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</si>
  <si>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</si>
  <si>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</si>
  <si>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</si>
  <si>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</si>
  <si>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</si>
  <si>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</si>
  <si>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7.119</t>
  </si>
  <si>
    <t>7.121</t>
  </si>
  <si>
    <t>7.122</t>
  </si>
  <si>
    <t>7.123</t>
  </si>
  <si>
    <t>L O U C A S E M E T A I S</t>
  </si>
  <si>
    <t>V A S O S A N I T A R I O / A C E S S O R I O S</t>
  </si>
  <si>
    <t>VASO SANITÁRIO COM CAIXA ACOPLADA COM DUPLO ACIONAMENTO - COMPLETO EXCLUSO O ASSENTO</t>
  </si>
  <si>
    <t xml:space="preserve">ASSENTO EM POLIPROPILENO COM SISTEMA DE FECHAMENTO SUAVE PARA VASO SANITÁRIO </t>
  </si>
  <si>
    <t xml:space="preserve">PORTA PAPEL HIGIÊNICO EM METAL/ACABAMENTO CROMADO </t>
  </si>
  <si>
    <t>L A V A T O R I O / A C E S S O R I O S</t>
  </si>
  <si>
    <t>LAVATÓRIO MÉDIO COM COLUNA</t>
  </si>
  <si>
    <t>unid.</t>
  </si>
  <si>
    <t>LAVATÓRIO DE CANTO SEM COLUNA</t>
  </si>
  <si>
    <t>LIGAÇÃO FLEXÍVEL PVC DIAM.1/2" (ENGATE)</t>
  </si>
  <si>
    <t>FIXACAO P/LAVATORIO (PAR)</t>
  </si>
  <si>
    <t xml:space="preserve">TORNEIRA DE MESA PARA LAVATÓRIO DIÂMETRO DE 1/2" </t>
  </si>
  <si>
    <t>CUBA DE LOUÇA DE EMBUTIR REDONDA</t>
  </si>
  <si>
    <t>CUBA INOX 56X34X17CM E=0,6MM-AÇO 304 (CUBA Nº2)</t>
  </si>
  <si>
    <t>CUBA INOX 50X40X20CM E=0,7MM-AÇO 304</t>
  </si>
  <si>
    <t>TANQUE (PANELAO) INOX 60 X 70 X 40 CM CH.18</t>
  </si>
  <si>
    <t>M I C T O R I O/A C E S S O R I O S</t>
  </si>
  <si>
    <t>MICTORIO DE LOUCA C/SIFAO INTEGRADO</t>
  </si>
  <si>
    <t>KIT FERR.P/MICT.LOUCA (ESPUDE,CONEXÃO ENTR.PARAFUSOS)</t>
  </si>
  <si>
    <t>P I A / A C E S S O R I O S</t>
  </si>
  <si>
    <t xml:space="preserve">TORNEIRA DE MESA PARA PIA DIÂMETRO DE 1/2" - BICA MÓVEL </t>
  </si>
  <si>
    <t>F I L T R O / C H U V E I R O</t>
  </si>
  <si>
    <t>CHUVEIRO ELÉTRICO EM PVC COM BRAÇO METÁLICO</t>
  </si>
  <si>
    <t>T A N Q U E S / T O R N E I R A S  J A R D I M S</t>
  </si>
  <si>
    <t xml:space="preserve">TORNEIRA DE JARDIM COM BICO PARA MANGUEIRA DIÂMETRO DE 1/2" E 3/4" </t>
  </si>
  <si>
    <t>TORNEIRA DE PAREDE PARA TANQUE COM AREJADOR DIÂMETRO DE 1/2" E 3/4"</t>
  </si>
  <si>
    <t>R E G I S T R O S</t>
  </si>
  <si>
    <t xml:space="preserve">REGISTRO DE GAVETA BRUTO DIAMETRO 3/4" </t>
  </si>
  <si>
    <t>REGISTRO DE GAVETA BRUTO DIAMETRO 1.1/4"</t>
  </si>
  <si>
    <t>REGISTRO DE GAVETA BRUTO DIAMETRO 1.1/2"</t>
  </si>
  <si>
    <t>REGISTRO DE GAVETA C/CANOPLA DIAMETRO 3/4"</t>
  </si>
  <si>
    <t>REGISTRO DE GAVETA C/CANOPLA DIAMETRO 1"</t>
  </si>
  <si>
    <t>REGISTRO DE PRESSAO C/CANOPLA CROMADA DIAM.3/4"</t>
  </si>
  <si>
    <t>AGUA FRIA</t>
  </si>
  <si>
    <t>T U B O S DE P V C S O L D A V E L</t>
  </si>
  <si>
    <t xml:space="preserve">TUBO SOLDAVEL PVC MARROM DIAMETRO 25 mm </t>
  </si>
  <si>
    <t xml:space="preserve">TUBO SOLDAVEL PVC MARROM DIAMETRO 32 mm </t>
  </si>
  <si>
    <t>TUBO SOLDAVEL PVC MARROM DIAM. 50 mm</t>
  </si>
  <si>
    <t>A D A P T A D O R E S DE P V C S O L D A V E</t>
  </si>
  <si>
    <t>ADAPTADOR SOLD.C/FLANGES LIV.P/CX.DAGUA 40X1.1/4"</t>
  </si>
  <si>
    <t>ADAPTAD.SOLD.C/FL.LIVRES P/CX.DAGUA 50X1.1/2"</t>
  </si>
  <si>
    <t xml:space="preserve">ADAPTAD.SOLD.CURTO C/BOLSA E ROSCA P/REG.25X3/4" </t>
  </si>
  <si>
    <t xml:space="preserve">ADAPTAD.SOLD.CURTO C/BOLSA E ROSCA P/REG.32X1" </t>
  </si>
  <si>
    <t>ADAPTAD.SOLD.CURTO C/BOLSA/ROSCA P/REG.40X1 1/4"</t>
  </si>
  <si>
    <t>ADAPTAD.SOLD.CURTO C/BOLSA/ROSCA P/REG.50X11/2"</t>
  </si>
  <si>
    <t>L U V A S DE P V C</t>
  </si>
  <si>
    <t>LUVA SOLDAVEL DIAMETRO 25 mm</t>
  </si>
  <si>
    <t>LUVA DE REDUCAO SOLDAVEL DIAMETRO 32 X 25 mm</t>
  </si>
  <si>
    <t>B U C H A S</t>
  </si>
  <si>
    <t>BUCHA DE REDUCAO SOLD.CURTA 40 X 32 mm</t>
  </si>
  <si>
    <t>BUCHA DE REDUCAO SOLDAVEL LONGA 50 X 32 mm</t>
  </si>
  <si>
    <t>J O E L H O S</t>
  </si>
  <si>
    <t>JOELHO 45 GRAUS SOLDAVEL 25 mm</t>
  </si>
  <si>
    <t>JOELHO 45 GRAUS SOLDAVEL 32 mm</t>
  </si>
  <si>
    <t xml:space="preserve">JOELHO 90 GRAUS SOLDAVEL DIAMETRO 25 MM </t>
  </si>
  <si>
    <t xml:space="preserve">JOELHO 90 GRAUS SOLDAVEL DIAMETRO 32 MM (1") </t>
  </si>
  <si>
    <t>JOELHO 90 GRAUS SOLDAVEL DIAMETRO 40 mm (1.1/4")</t>
  </si>
  <si>
    <t>JOELHO 90 GRAUS SOLDAVEL 50 mm (MARROM)</t>
  </si>
  <si>
    <t xml:space="preserve">JOELHO RED.90 GRAUS SOLD.C/BUCHA LATAO 25X1/2" </t>
  </si>
  <si>
    <t>JOELHO 90 GRAUS SOLD. C/BUCHA LATAO 25 X 3/4"</t>
  </si>
  <si>
    <t>JOELHO REDUÇÃO 90º SOLDÁVEL  32 mm X 25 mm</t>
  </si>
  <si>
    <t>T E</t>
  </si>
  <si>
    <t>TE 90 GRAUS SOLDAVEL DIAMETRO 25 mm</t>
  </si>
  <si>
    <t xml:space="preserve">TE 90 GRAUS SOLDAVEL DIAMETRO 32 mm </t>
  </si>
  <si>
    <t>TE 90 GRAUS SOLDAVEL DIAMETRO 40 mm</t>
  </si>
  <si>
    <t>TE 90 GRAUS SOLDAVEL DIAMETRO 50 mm</t>
  </si>
  <si>
    <t xml:space="preserve">TE REDUCAO 90 GRAUS SOLDAVEL 32 X 25 mm </t>
  </si>
  <si>
    <t>TE REDUCAO 90 GRAUS SOLDAVEL 40 X 32 mm</t>
  </si>
  <si>
    <t>TE REDUCAO 90 GRAUS SOLDAVEL 50 X 32 mm</t>
  </si>
  <si>
    <t>E S G O T O S A N I T A R I O</t>
  </si>
  <si>
    <t>C O R P O DE C A I X A S I F O N A D A/R A L O</t>
  </si>
  <si>
    <t>G R E L H A S</t>
  </si>
  <si>
    <t>GRELHA REDONDA CROMADA DIAM.100 MM</t>
  </si>
  <si>
    <t>D I V E R S O S</t>
  </si>
  <si>
    <t xml:space="preserve">HIDROMETRO DIAM.RAMAL = 25 MM VAZAO =1,5 A 3 M3 </t>
  </si>
  <si>
    <t xml:space="preserve">KIT CAVALETE D=25MM P/HIDRÔMETRO 1,5-3,0-5,0 M3/MURETA/CAIXA </t>
  </si>
  <si>
    <t xml:space="preserve">CAIXA DE INSPEÇÃO - TAMPA EM CONCRETO ARMADO 25 MPA E=5CM </t>
  </si>
  <si>
    <t>CAIXA DE INSPEÇÃO - LASTRO DE CONCRETO (COM ADIÇÃO DE IMPERMEABILIZANTE) 20MPA E=5CM PARA O FUNDO</t>
  </si>
  <si>
    <t>CAIXA DE INSPEÇÃO - ALVENARIA DE 1/2 VEZ COM REVESTIMENTO INTERNO EM REBOCO PAULISTA A-14 (COM ADIÇÃO DE IMPERMEABILIZANTE)</t>
  </si>
  <si>
    <t xml:space="preserve">CAIXA DE INSPEÇÃO - ESCAVAÇÃO MANUAL / REATERRO/ APILOAMENTO DO FUNDO </t>
  </si>
  <si>
    <t>CAIXA DAGUA POLIETILENO 1000 LTS. C/TAMPA</t>
  </si>
  <si>
    <t>TERMINAL DE VENTILACAO DIAMETRO 50 MM</t>
  </si>
  <si>
    <t>BEBEDOURO ELETRICO PRESSAO IBBL BAG 40 OU EQUIVALENTE</t>
  </si>
  <si>
    <t>COLAR TOMADA PVC, COM TRAVAS, SAIDA COM ROSCA, DE 32 MM X 1/2" OU 32 MM X 3/4", PARA LIGACAO PREDIAL DE AGUA</t>
  </si>
  <si>
    <t xml:space="preserve">JOELHO 90 GRAUS C/ANEL 40 mm </t>
  </si>
  <si>
    <t xml:space="preserve">JOELHO 90 GRAUS DIAMETRO 40 MM </t>
  </si>
  <si>
    <t xml:space="preserve">JOELHO 90 GRAUS DIAMETRO 50 MM </t>
  </si>
  <si>
    <t>JOELHO 45 GRAUS DIAMETRO 100 MM</t>
  </si>
  <si>
    <t>JOELHO 45 GRAUS DIAMETRO 40 MM</t>
  </si>
  <si>
    <t>JOELHO 45 GRAUS DIAMETRO 50 MM</t>
  </si>
  <si>
    <t>J U N C O E S</t>
  </si>
  <si>
    <t xml:space="preserve">JUNCAO SIMPLES DIAM. 100 X 50 MM </t>
  </si>
  <si>
    <t>LUVA SIMPLES DIAMETRO 50 MM</t>
  </si>
  <si>
    <t>LUVA SIMPLES DIAM. 100 MM</t>
  </si>
  <si>
    <t xml:space="preserve">TE SANITARIO DIAMETRO 50 X 50 MM </t>
  </si>
  <si>
    <t>T U B O S</t>
  </si>
  <si>
    <t xml:space="preserve">TUBO SOLD.P/ESGOTO DIAM. 40 MM </t>
  </si>
  <si>
    <t xml:space="preserve">TUBO SOLD. P/ESGOTO DIAM. 50 MM </t>
  </si>
  <si>
    <t xml:space="preserve">TUBO SOLDAVEL P/ESGOTO DIAM. 100 MM </t>
  </si>
  <si>
    <t>INCENDIOS</t>
  </si>
  <si>
    <t>EXTINTOR MULTI USO EM PO A B C (6 KG) - CAPACIDADE EXTINTORA 3A 20BC</t>
  </si>
  <si>
    <t>7.126</t>
  </si>
  <si>
    <t>7.127</t>
  </si>
  <si>
    <t>7.128</t>
  </si>
  <si>
    <t>7.129</t>
  </si>
  <si>
    <t>I. S. Policial</t>
  </si>
  <si>
    <t>D.M.L. 3</t>
  </si>
  <si>
    <t>Arquivo médico</t>
  </si>
  <si>
    <t>D.M.L. 2</t>
  </si>
  <si>
    <t>Arquivo de chapas</t>
  </si>
  <si>
    <t>D.M.L. 4</t>
  </si>
  <si>
    <t>Armazenamento Temporário de Resíduos Sólidos</t>
  </si>
  <si>
    <t>D.M.L. 5</t>
  </si>
  <si>
    <t>Vestiário/Sanitário Central para Funcionários Feminino</t>
  </si>
  <si>
    <t>Vestiário/Sanitário Central para Funcionários Masculino</t>
  </si>
  <si>
    <t>I.S. 3</t>
  </si>
  <si>
    <t>I.S. 4</t>
  </si>
  <si>
    <t>14.2</t>
  </si>
  <si>
    <t>14.3</t>
  </si>
  <si>
    <t>PORTA LISA 90X210 COM PORTAL E ALISAR SEM FERRAGENS</t>
  </si>
  <si>
    <t>PORTA LISA 100X210 COM PORTAL E ALISAR SEM FERRAGENS</t>
  </si>
  <si>
    <t>I. S. Pacientes Masc</t>
  </si>
  <si>
    <t>I. S. Pacientes Fem</t>
  </si>
  <si>
    <t>D.M.L. 1</t>
  </si>
  <si>
    <t>Copa de distribuição</t>
  </si>
  <si>
    <t>I.S. P.N.E.</t>
  </si>
  <si>
    <t>Classificação de risco</t>
  </si>
  <si>
    <t>Atendimento social</t>
  </si>
  <si>
    <t>Exame Indif. 01</t>
  </si>
  <si>
    <t>Exame Indif. 02</t>
  </si>
  <si>
    <t>Gesso imobilização/fratura</t>
  </si>
  <si>
    <t>Sala de Aplicação de Medicação/Reidratação</t>
  </si>
  <si>
    <t>Coleta de Material</t>
  </si>
  <si>
    <t>Inalação</t>
  </si>
  <si>
    <t>Sutura/Curativo</t>
  </si>
  <si>
    <t>Eletrocardiograma - ECG</t>
  </si>
  <si>
    <t>I.S. P.N.E. 02</t>
  </si>
  <si>
    <t>I.S. P.N.E. 03</t>
  </si>
  <si>
    <t>I.S. P.N.E. 04</t>
  </si>
  <si>
    <t>I.S. P.N.E. 05</t>
  </si>
  <si>
    <t>Sala administrativa/informática/controle de ponto, protocolo</t>
  </si>
  <si>
    <t>Sala direção</t>
  </si>
  <si>
    <t>Sala de reuniões</t>
  </si>
  <si>
    <t>CAF/Farmácia</t>
  </si>
  <si>
    <t>Sala de Utilidades e Guarda Roupa suja</t>
  </si>
  <si>
    <t>Sala de armaz. E dist. De materiais esterilizados e roupa limpa</t>
  </si>
  <si>
    <t>Sala de guarda e preparo de equipamentos/material</t>
  </si>
  <si>
    <t>almoxarifado</t>
  </si>
  <si>
    <t>Quarto de plantão para funcionários feminino</t>
  </si>
  <si>
    <t>Quarto de plantão para funcionários masculino</t>
  </si>
  <si>
    <t>Área para recepção, lavagem e guarda carrinhos</t>
  </si>
  <si>
    <t>Refeitório para funcionários</t>
  </si>
  <si>
    <t>15.4</t>
  </si>
  <si>
    <t>15.7</t>
  </si>
  <si>
    <t>PORTA ABRIR/VENEZIANA PF-4 C/FERRAGENS</t>
  </si>
  <si>
    <t>Vestiário/Sanitário Central para Funcionários Feminino (2 portas 0.80 x 1.80 m)</t>
  </si>
  <si>
    <t>Vestiário/Sanitário Central para Funcionários Masculino (2 portas 0.80 x 1.80 m)</t>
  </si>
  <si>
    <t>Posto Policial (0.90 x 2.10 m)</t>
  </si>
  <si>
    <t>I. S. Pacientes Masc (2 portas 0.80 x 1.80 m)</t>
  </si>
  <si>
    <t>I. S. Pacientes Fem (3 portas 0.80 x 1.80 m)</t>
  </si>
  <si>
    <t>Abrigo de resíduo externo (4 portas 1.00 x 2.10 m)</t>
  </si>
  <si>
    <t>Área para recepção, lavagem e guarda carrinhos (1 porta 1.00 x 2.10 m)</t>
  </si>
  <si>
    <t xml:space="preserve">LOCAÇÃO DA OBRA, EXECUÇÃO DE GABARITO SEM REAPROVEITAMENTO, INCLUSO PINTURA (FACE INTERNA DO RIPÃO 15CM) E PIQUETE COM TESTEMUNHA </t>
  </si>
  <si>
    <t xml:space="preserve">LIMPEZA MECANICA DE TERRENO </t>
  </si>
  <si>
    <t>3.5</t>
  </si>
  <si>
    <t>REATERRO COM APILOAMENTO</t>
  </si>
  <si>
    <t>9.2</t>
  </si>
  <si>
    <t>COBERTURA COM TELHA ONDULADA OU EQUIV.</t>
  </si>
  <si>
    <t>CUMEEIRA PARA TELHA ONDULADA OU EQUIV.</t>
  </si>
  <si>
    <t>PASSEIO PROTECAO EM CONC.DESEMPEN.5 CM 1:2,5:3,5 ( INCLUSO ESPELHO DE 30CM/ESCAVAÇÃO/REATERRO/APILOAMENTO/ATERRO INTERNO)</t>
  </si>
  <si>
    <t>FORRO DE GESSO COMUM</t>
  </si>
  <si>
    <t>Perímetro de todos ambientes do item 19.3</t>
  </si>
  <si>
    <t>perímetro ambientes - descontos</t>
  </si>
  <si>
    <t>Banheiro guarita</t>
  </si>
  <si>
    <t>20.6</t>
  </si>
  <si>
    <t>DOBRADIÇA TIPO VAI E VEM EM LATÃO POLIDO 3". AF_12/2019</t>
  </si>
  <si>
    <t>Guarita ( 1 porta 1.00 x 2.10 m)</t>
  </si>
  <si>
    <t>14.4</t>
  </si>
  <si>
    <t>14.5</t>
  </si>
  <si>
    <t>14.6</t>
  </si>
  <si>
    <t>FOLHA DE PORTA LISA 60/70/80X210</t>
  </si>
  <si>
    <t>Jg</t>
  </si>
  <si>
    <t>PORTAL ( INCLUSO ENCHIMENTO COM ALVENARIA)</t>
  </si>
  <si>
    <t>ALIZAR</t>
  </si>
  <si>
    <t>Circulação 03 (2 portas 0.80 x 2.10 m)</t>
  </si>
  <si>
    <t>Sala de urgência e emergência (4 portas 0.80 x 2.10 m)</t>
  </si>
  <si>
    <t>Espera para público (2 portas 0.80 x 2.10 m)</t>
  </si>
  <si>
    <t>Circulação 01 (2 portas 0.80 x 2.10 m)</t>
  </si>
  <si>
    <t>Circulação 02 (2 portas 0.80 x 2.10 m)</t>
  </si>
  <si>
    <t>Observação e pediatria (2 portas 0.80 x 2.10 m)</t>
  </si>
  <si>
    <t>Circulação 04 (2 portas 0.80 x 2.10 m)</t>
  </si>
  <si>
    <t>Conforme item 14.4</t>
  </si>
  <si>
    <t>Sala de estar funcionários (2 portas 0.70 x 2.10 m)</t>
  </si>
  <si>
    <t>Quarto individual</t>
  </si>
  <si>
    <t>Guarda temporaria de cadáver ( 1 porta 2.00 x 2.10 m)</t>
  </si>
  <si>
    <t>PORTA DE CORRER C/BASCULA PF-7/PF-8 C/ FERRAGENS</t>
  </si>
  <si>
    <t>PORTAO CORRER / ABRIR CONJUGADO PT-8 C/FERRAGENS</t>
  </si>
  <si>
    <t>PORTAO DE FERRO REDONDO PT-6 C/FERRAGENS</t>
  </si>
  <si>
    <t>Central GLP ( 1 portão 2.00 x 2.10 m )</t>
  </si>
  <si>
    <t>Central de Ar Comprimido ( 1 portão 2.00 x 2.10 m )</t>
  </si>
  <si>
    <t>Central de Gás( 1 portão 2.00 x 2.10 m )</t>
  </si>
  <si>
    <t>Central Vácuo Clínico ( 1 portão 2.00 x 2.10 m )</t>
  </si>
  <si>
    <t>Sala para equipamento de geração de energia ( 1 portão 2.00 x 2.10 m )</t>
  </si>
  <si>
    <t>Fonte</t>
  </si>
  <si>
    <t>Código</t>
  </si>
  <si>
    <t>Descrição</t>
  </si>
  <si>
    <t>Und</t>
  </si>
  <si>
    <t>Quant.</t>
  </si>
  <si>
    <t>Material</t>
  </si>
  <si>
    <t>Mão de Obra</t>
  </si>
  <si>
    <t>Total</t>
  </si>
  <si>
    <t>0005</t>
  </si>
  <si>
    <t>SERVENTE</t>
  </si>
  <si>
    <t>Un</t>
  </si>
  <si>
    <t>CP. 01</t>
  </si>
  <si>
    <t>0004</t>
  </si>
  <si>
    <t>PEDREIRO</t>
  </si>
  <si>
    <t>Mão de obra</t>
  </si>
  <si>
    <t>Materiais</t>
  </si>
  <si>
    <t>2814</t>
  </si>
  <si>
    <t>1264</t>
  </si>
  <si>
    <t>2246</t>
  </si>
  <si>
    <t>1377</t>
  </si>
  <si>
    <t>1672</t>
  </si>
  <si>
    <t>2417</t>
  </si>
  <si>
    <t>0104</t>
  </si>
  <si>
    <t>1215</t>
  </si>
  <si>
    <t>1334</t>
  </si>
  <si>
    <t>2372</t>
  </si>
  <si>
    <t>2930</t>
  </si>
  <si>
    <t>FECHO QUEBRA UNHA LA FONTE 400/20 / RODRIGUES 6010</t>
  </si>
  <si>
    <t>DISCO DE DESBASTE 7/8" P/ CONC./FERRO (1/4" X 7")</t>
  </si>
  <si>
    <t>ELETRODO 2.5 OK</t>
  </si>
  <si>
    <t>FECHADURA TIPO ALAVANCA 6236 E LAFONTE /8766 E-17 IMAB</t>
  </si>
  <si>
    <t>LIXA PARA FERRO ( NÚMERO 100 )</t>
  </si>
  <si>
    <t>MASSA PLASTICA</t>
  </si>
  <si>
    <t>AREIA MEDIA</t>
  </si>
  <si>
    <t>CIMENTO PORTLAND C.P. 32</t>
  </si>
  <si>
    <t>DISCO DE CORTE DIAM. 5/8"- 10"</t>
  </si>
  <si>
    <t>CHAPA PERFILADA No. 18</t>
  </si>
  <si>
    <t>FABRICAÇÃO / MONTAGEM</t>
  </si>
  <si>
    <t>100710</t>
  </si>
  <si>
    <t>COMPOSIÇÃO</t>
  </si>
  <si>
    <t>PORTA DE ALUMÍNIO VAI E VEM C/ 1 FOLHA</t>
  </si>
  <si>
    <t>SUBTOTAL</t>
  </si>
  <si>
    <t>Porta higienização ( 1 portão 1.00 x 2.10 m)</t>
  </si>
  <si>
    <t>CRONOGRAMA FÍSICO E FINANCEIRO</t>
  </si>
  <si>
    <t>Item</t>
  </si>
  <si>
    <t>01.1</t>
  </si>
  <si>
    <t>01.2</t>
  </si>
  <si>
    <t>01.3</t>
  </si>
  <si>
    <t>01.4</t>
  </si>
  <si>
    <t>01.5</t>
  </si>
  <si>
    <t>01.6</t>
  </si>
  <si>
    <t>01.7</t>
  </si>
  <si>
    <t>01.8</t>
  </si>
  <si>
    <t>01.9</t>
  </si>
  <si>
    <t>01.10</t>
  </si>
  <si>
    <t>01.11</t>
  </si>
  <si>
    <t>01.12</t>
  </si>
  <si>
    <t>01.13</t>
  </si>
  <si>
    <t>01.14</t>
  </si>
  <si>
    <t>CP. 02</t>
  </si>
  <si>
    <t>1380</t>
  </si>
  <si>
    <t>FECHADURA P/ PORTA CORRER (BICO PAPAGAIO) 1222 LAFONTE/1065-E30 IMAB</t>
  </si>
  <si>
    <t>2815</t>
  </si>
  <si>
    <t>PUXADOR TIPO ALÇA FERRO CROMADO 10CM PARA PORTA DE CORRER</t>
  </si>
  <si>
    <t>190202</t>
  </si>
  <si>
    <t>M2</t>
  </si>
  <si>
    <t>VIDRO TEMPERADO 10 MM FUME - COLOCADO</t>
  </si>
  <si>
    <t xml:space="preserve">00011552 </t>
  </si>
  <si>
    <t>PERFIL U DE ABAS IGUAIS, EM ALUMINIO, 1/2" (1,27 X 1,27 CM), PARA PORTA OU JANELA DE CORRER</t>
  </si>
  <si>
    <t>SINAPI-I</t>
  </si>
  <si>
    <t>88325</t>
  </si>
  <si>
    <t>VIDRACEIRO COM ENCARGOS COMPLEMENTARES</t>
  </si>
  <si>
    <t>PORTA DE VIDRO TEMPERADO CORRER C/ 4 FOLHA</t>
  </si>
  <si>
    <t>CP. 03</t>
  </si>
  <si>
    <t>PORTA DE VIDRO TEMPERADO CORRER C/ 2 FOLHA</t>
  </si>
  <si>
    <t>16.2</t>
  </si>
  <si>
    <t>16.3</t>
  </si>
  <si>
    <t>Porta entrada principal</t>
  </si>
  <si>
    <t>porta completa</t>
  </si>
  <si>
    <t>Porta saída</t>
  </si>
  <si>
    <t>ESQUADRIA ALUMÍNIO ANODIZADO MÁXIMO AR C/FERRAGENS (M.O.FAB.INC.MAT.)</t>
  </si>
  <si>
    <t>Janela ( 24 janelas 1.00 x 1.80 m - conforme quadro de esquadrias do projeto arquitetônico )</t>
  </si>
  <si>
    <t>Janela ( 18 janelas 2.00 x 0.60 m - conforme quadro de esquadrias do projeto arquitetônico )</t>
  </si>
  <si>
    <t>Janela ( 17 janelas 0.80 x 0.60 m - conforme quadro de esquadrias do projeto arquitetônico )</t>
  </si>
  <si>
    <t>Janela ( 10 janelas 1.20 x 0.60 m - conforme quadro de esquadrias do projeto arquitetônico )</t>
  </si>
  <si>
    <t>ESQUADRIA DE ALUMÍNIO NATURAL CORRER / VIDRO 2 FOLHAS
C/FERRAGENS.(M.O.FAB.INC.MAT.)</t>
  </si>
  <si>
    <t>Janela ( 15 janelas 1.50 x 1.00 m - conforme quadro de esquadrias do projeto arquitetônico )</t>
  </si>
  <si>
    <t>Área cobertura</t>
  </si>
  <si>
    <t>Conforme item 15.6 e 15.7</t>
  </si>
  <si>
    <t>Conforme item 14.1, 14.2 e 14.3</t>
  </si>
  <si>
    <t>Conforme item 15.3 e 15.4</t>
  </si>
  <si>
    <t>Área do estacionamento interno</t>
  </si>
  <si>
    <t>Área estacionamento externa</t>
  </si>
  <si>
    <t>PLANTIO GRAMA ESMERALDA PLACA C/ M.O. IRRIG., ADUBO,TERRA VEGETAL (O.C.) A&lt;11.000,00M2</t>
  </si>
  <si>
    <t>BANCADA DE GRANITINA</t>
  </si>
  <si>
    <t>I.S. policial</t>
  </si>
  <si>
    <t>I.S. pacientes masc.</t>
  </si>
  <si>
    <t>I.S. pacientes fem.</t>
  </si>
  <si>
    <t>Sala de urgência e emergência</t>
  </si>
  <si>
    <t>Guarda temporaria de cadáver</t>
  </si>
  <si>
    <t>Gesso, imobilização</t>
  </si>
  <si>
    <t>I.S. 02</t>
  </si>
  <si>
    <t>Posto de serviço / enfermagem</t>
  </si>
  <si>
    <t>Copa</t>
  </si>
  <si>
    <t>Vestiário fem.</t>
  </si>
  <si>
    <t>Vestiário masc.</t>
  </si>
  <si>
    <t>I.S. guarita</t>
  </si>
  <si>
    <t xml:space="preserve"> quantidade</t>
  </si>
  <si>
    <t xml:space="preserve">TOTAL = (A x  B) - (C x B) </t>
  </si>
  <si>
    <t>Guarita</t>
  </si>
  <si>
    <t>PISO EM CONCRETO DESEMPENADO ESPESSURA = 7 CM 1:2,5:3,5</t>
  </si>
  <si>
    <t>Área de acesso da ambulâcia</t>
  </si>
  <si>
    <t>TELA SOLDADA Q138</t>
  </si>
  <si>
    <t>Passeio de proteção interno</t>
  </si>
  <si>
    <t>MEIO FIO COM SARJETA - MFU02</t>
  </si>
  <si>
    <t>Comprimento meio fio externo</t>
  </si>
  <si>
    <t>24.1</t>
  </si>
  <si>
    <t>24.2</t>
  </si>
  <si>
    <t>MEIO FIO SEM SARJETA - MFU01</t>
  </si>
  <si>
    <t>comprimento</t>
  </si>
  <si>
    <t>Comprimento meio fio interno</t>
  </si>
  <si>
    <t>UPA externo</t>
  </si>
  <si>
    <t>UPA interno</t>
  </si>
  <si>
    <t>Depósito de resíduos externo</t>
  </si>
  <si>
    <t>Depósito de resíduos interno</t>
  </si>
  <si>
    <t>Central de gás externo</t>
  </si>
  <si>
    <t>Central de gás interno</t>
  </si>
  <si>
    <t>Guarita externa</t>
  </si>
  <si>
    <t>Guarita interna</t>
  </si>
  <si>
    <t>I.S. policial (até 3m)</t>
  </si>
  <si>
    <t>desconto I.S. Policial</t>
  </si>
  <si>
    <t>DML 03 (até 1,50m)</t>
  </si>
  <si>
    <t>desconto DML 03</t>
  </si>
  <si>
    <t>desconto higienização</t>
  </si>
  <si>
    <t>Guarda temporária de cadáver (até 3m)</t>
  </si>
  <si>
    <t>Higienização (até 3m)</t>
  </si>
  <si>
    <t>Sala de urgência e emergência (até 3m)</t>
  </si>
  <si>
    <t>Hall (até 3m)</t>
  </si>
  <si>
    <t>DML 01 (até 1,50m)</t>
  </si>
  <si>
    <t>desconto DML 01</t>
  </si>
  <si>
    <t>I.S. Pacientes fem. (até 3m)</t>
  </si>
  <si>
    <t>desconto I.S. Pacientes fem.</t>
  </si>
  <si>
    <t>desconto I.S. Pacientes masc.</t>
  </si>
  <si>
    <t>I.S. Pacientes masc. (até 3m)</t>
  </si>
  <si>
    <t>I.S. PNE (até 3m)</t>
  </si>
  <si>
    <t>desconto I.S. PNE</t>
  </si>
  <si>
    <t>DML 02 (até 1,50)</t>
  </si>
  <si>
    <t>desconto DML 02</t>
  </si>
  <si>
    <t>Gesso, imobilização/fratura (até 3m)</t>
  </si>
  <si>
    <t>desconto gesso imobilização/fratura</t>
  </si>
  <si>
    <t>Sala de aplicação de Medicação/Reidratação (até 3m)</t>
  </si>
  <si>
    <t>desconto sala de aplicação de medicação/reidratação</t>
  </si>
  <si>
    <t>Coleta de Material (até 3m)</t>
  </si>
  <si>
    <t>desconto coleta de material</t>
  </si>
  <si>
    <t>Inalação (até 3m)</t>
  </si>
  <si>
    <t>desconto inalação</t>
  </si>
  <si>
    <t>Sutura/Curativo (até 3m)</t>
  </si>
  <si>
    <t>desconto sutura/curativo</t>
  </si>
  <si>
    <t>Eletrocardiograma - ECG (até 3m)</t>
  </si>
  <si>
    <t>desconto eletrocardiograma ECG</t>
  </si>
  <si>
    <t>I.S. 02 (até 3m)</t>
  </si>
  <si>
    <t>desconto I.S. 02</t>
  </si>
  <si>
    <t>I.S. PNE 02 (até 3m)</t>
  </si>
  <si>
    <t>desconto I.S. PNE 02</t>
  </si>
  <si>
    <t>Posto de serviço / enfermagem (até 3m)</t>
  </si>
  <si>
    <t>desconto  posto de serviço / enfermagem</t>
  </si>
  <si>
    <t>Observação (até 3m)</t>
  </si>
  <si>
    <t>I.S. PNE 03 (até 3m)</t>
  </si>
  <si>
    <t>I.S. PNE 04 (até 3m)</t>
  </si>
  <si>
    <t>I.S. PNE 05 (até 3m)</t>
  </si>
  <si>
    <t>desconto I.S. PNE 03</t>
  </si>
  <si>
    <t>desconto I.S. PNE 04</t>
  </si>
  <si>
    <t>desconto I.S. PNE 05</t>
  </si>
  <si>
    <t>DML 04 (até 3m)</t>
  </si>
  <si>
    <t>desconto DML 04</t>
  </si>
  <si>
    <t>Sala de utilidades e Guarda Roupa suja (até 3m)</t>
  </si>
  <si>
    <t>desconto sala de utilidades e guarda de roupa suja</t>
  </si>
  <si>
    <t>desconto sala de armazenamento e distribuição de materiais</t>
  </si>
  <si>
    <t>desconto sala de guarda e preparo de equipamentos/material</t>
  </si>
  <si>
    <t>desconto I.S. 03</t>
  </si>
  <si>
    <t>desconto I.S. 04</t>
  </si>
  <si>
    <t>desconto Copa</t>
  </si>
  <si>
    <t>Sala de amazenamento e distribuição de materiais (até 3m)</t>
  </si>
  <si>
    <t>Sala de guarda e preparo de equipamentos/material (até 3m)</t>
  </si>
  <si>
    <t>I.S. 03 (até 3m)</t>
  </si>
  <si>
    <t>I.S. 04 (até 3m)</t>
  </si>
  <si>
    <t>Copa (até 3m)</t>
  </si>
  <si>
    <t>DML 05 (até 1,50m)</t>
  </si>
  <si>
    <t>desconto DML 05</t>
  </si>
  <si>
    <t>Área para recpção de lavagem e guarda de carrinhos (até 3m)</t>
  </si>
  <si>
    <t>desconto área para recpção de lavagem e guarda de carrinhos</t>
  </si>
  <si>
    <t>Vestiário fem. (até 3m)</t>
  </si>
  <si>
    <t>Vestiário masc. (até 3m)</t>
  </si>
  <si>
    <t>desconto vestiário fem. (até 3m)</t>
  </si>
  <si>
    <t>desconto vestiário masc. (até 3m)</t>
  </si>
  <si>
    <t>CAF / Fármacia (até 3m)</t>
  </si>
  <si>
    <t>desconto CAF/ Farmácia</t>
  </si>
  <si>
    <t>desconto I.S. guarita</t>
  </si>
  <si>
    <t>I.S. guarita (até 3m)</t>
  </si>
  <si>
    <t>área total</t>
  </si>
  <si>
    <t>Área conforme item 17.4</t>
  </si>
  <si>
    <t>área de revestimento cerâmico</t>
  </si>
  <si>
    <t>área de chapisco conforme item 17.1</t>
  </si>
  <si>
    <t>área de revestimento cerâmico conforme item 17.4</t>
  </si>
  <si>
    <t>Área do ambiente</t>
  </si>
  <si>
    <t>Posto policial</t>
  </si>
  <si>
    <t>DML 03</t>
  </si>
  <si>
    <t>Guarda temporária de cadáver</t>
  </si>
  <si>
    <t>Higienização</t>
  </si>
  <si>
    <t>Circulação 03</t>
  </si>
  <si>
    <t>DML 01</t>
  </si>
  <si>
    <t>I.S. Pacientes fem.</t>
  </si>
  <si>
    <t>I.S. Pacientes masc.</t>
  </si>
  <si>
    <t>I.S. PNE</t>
  </si>
  <si>
    <t>Hall</t>
  </si>
  <si>
    <t>Circulação</t>
  </si>
  <si>
    <t>Espera para público e pacientes 1</t>
  </si>
  <si>
    <t>Área de recepção</t>
  </si>
  <si>
    <t>Circulação 1</t>
  </si>
  <si>
    <t>Exame indiferente 1</t>
  </si>
  <si>
    <t>Exame indiferente 2</t>
  </si>
  <si>
    <t>DML 02</t>
  </si>
  <si>
    <t>Gesso e imobilização/fratura</t>
  </si>
  <si>
    <t>Espera para público e pacientes 2</t>
  </si>
  <si>
    <t>Sala de aplicação de medicação/hidratação</t>
  </si>
  <si>
    <t>Coleta de material</t>
  </si>
  <si>
    <t>Sutura/curativo</t>
  </si>
  <si>
    <t>Eletrocardiograma</t>
  </si>
  <si>
    <t>Laboratorio de processamento (camara escura)</t>
  </si>
  <si>
    <t>Circulação 02</t>
  </si>
  <si>
    <t>DML 04</t>
  </si>
  <si>
    <t>Observação pediatria masc. / fem.</t>
  </si>
  <si>
    <t>I.S. PNE 02</t>
  </si>
  <si>
    <t>Posto de serviço e enfermagem</t>
  </si>
  <si>
    <t>I.S. 03</t>
  </si>
  <si>
    <t>I.S. 04</t>
  </si>
  <si>
    <t>I.S. 05</t>
  </si>
  <si>
    <t>CAF/ Fármacia</t>
  </si>
  <si>
    <t>Sala de utilidades - guarda de roupa suja</t>
  </si>
  <si>
    <t>Sala de guarda e preparo de equipamentos</t>
  </si>
  <si>
    <t>Almoxarifado</t>
  </si>
  <si>
    <t>Quarto de plantão de funcionários fem.</t>
  </si>
  <si>
    <t>Quarto de plantão de funcionários masc.</t>
  </si>
  <si>
    <t>Sala de estar funcionários</t>
  </si>
  <si>
    <t>Área para recepção lavagem e guarda carrinhos</t>
  </si>
  <si>
    <t>DML 05</t>
  </si>
  <si>
    <t>Sala de direção</t>
  </si>
  <si>
    <t>Circulação 04</t>
  </si>
  <si>
    <t>I.S. Guarita</t>
  </si>
  <si>
    <t>Abrigo de resíduo externos 1</t>
  </si>
  <si>
    <t>Abrigo de resíduo externos 2</t>
  </si>
  <si>
    <t>Central de AR Comprimido</t>
  </si>
  <si>
    <t>Central de gás</t>
  </si>
  <si>
    <t>Central de vácuo clínico</t>
  </si>
  <si>
    <t>Sala para equipamento de geração de energia</t>
  </si>
  <si>
    <t>Central de GLP</t>
  </si>
  <si>
    <t>área total de gesso</t>
  </si>
  <si>
    <t>Portão entrada estacionamento ( 1 portão 6.00 x 3.00 m )</t>
  </si>
  <si>
    <t>Portão saída estacionamento ( 1 portão 6.00 x 3.00 m )</t>
  </si>
  <si>
    <t>Vestiário Funcionários fem.</t>
  </si>
  <si>
    <t>Vestiário Funcionários masc.</t>
  </si>
  <si>
    <t>I.S. PNE 2</t>
  </si>
  <si>
    <t>I.S. PNE 3</t>
  </si>
  <si>
    <t>I.S. PNE 4</t>
  </si>
  <si>
    <t>I.S. PNE 5</t>
  </si>
  <si>
    <t>Área total</t>
  </si>
  <si>
    <t>9.3</t>
  </si>
  <si>
    <t>ELEMENTO VAZADO DE CONCRETO</t>
  </si>
  <si>
    <t>Fachada frontal</t>
  </si>
  <si>
    <t>I.S. Policial</t>
  </si>
  <si>
    <t>I.S. PNE 03</t>
  </si>
  <si>
    <t>I.S. PNE 04</t>
  </si>
  <si>
    <t>I.S. PNE 05</t>
  </si>
  <si>
    <t>Vestiário/sanitário funcionários fem.</t>
  </si>
  <si>
    <t>Vestiário/sanitário funcionários masc.</t>
  </si>
  <si>
    <t>UPA</t>
  </si>
  <si>
    <t>Armazenamento de resíduos</t>
  </si>
  <si>
    <t>Conforme item 11.1</t>
  </si>
  <si>
    <t>Centrais de gás</t>
  </si>
  <si>
    <t>Área alvenaria: conforme item 9.1</t>
  </si>
  <si>
    <t>ENGENHEIRO - (OBRAS CIVIS)</t>
  </si>
  <si>
    <t>VIGIA DE OBRAS - (NOTURNO) - OBRAS CIVIS</t>
  </si>
  <si>
    <t>MARCENARIA</t>
  </si>
  <si>
    <t>BATE MACA 2,5 X 12 CM/ENVERNIZ. E ASSENTADO</t>
  </si>
  <si>
    <t>24.3</t>
  </si>
  <si>
    <t>24.4</t>
  </si>
  <si>
    <t>24.5</t>
  </si>
  <si>
    <t>24.6</t>
  </si>
  <si>
    <t>24.7</t>
  </si>
  <si>
    <t>24.8</t>
  </si>
  <si>
    <t>24.9</t>
  </si>
  <si>
    <t>25.1</t>
  </si>
  <si>
    <t>25.2</t>
  </si>
  <si>
    <t>Circulação 3</t>
  </si>
  <si>
    <t>TOTAL (A - B)</t>
  </si>
  <si>
    <t>desconto circulação 3</t>
  </si>
  <si>
    <t>desconto sala de urgência e emergência</t>
  </si>
  <si>
    <t>Circulação 2</t>
  </si>
  <si>
    <t>desconto circulação 2</t>
  </si>
  <si>
    <t>Circulação 5</t>
  </si>
  <si>
    <t>desconto circulação 5</t>
  </si>
  <si>
    <t>desconto observação pediatria</t>
  </si>
  <si>
    <t>PINTURA PVA LATEX 2 DEMAOS SEM SELADOR</t>
  </si>
  <si>
    <t>Área alvenaria externa: conforme item 9.1.A (1 face)</t>
  </si>
  <si>
    <t>Alvenaria externa face externa: conforme item 9.1.A (1 face)</t>
  </si>
  <si>
    <t>Área de revestimento cerâmico: conforme item 17.4</t>
  </si>
  <si>
    <t>TOTAL = (A + B ) - C</t>
  </si>
  <si>
    <t>Conforme item 23.2</t>
  </si>
  <si>
    <t>PINTURA COM SELADOR ACRILICO</t>
  </si>
  <si>
    <t>IMPERMEABILIZACAO-ARGAM. SINT.SEMI - FLEXIVEL</t>
  </si>
  <si>
    <t>Entrada ambulância</t>
  </si>
  <si>
    <t>4.10</t>
  </si>
  <si>
    <t>ACO CA-50A - 6,3 MM (1/4") - (OBRAS CIVIS)</t>
  </si>
  <si>
    <t>4.11</t>
  </si>
  <si>
    <t>ACO CA 50-A - 12,5 MM (1/2") - (OBRAS CIVIS)</t>
  </si>
  <si>
    <t>Vigas baldrame</t>
  </si>
  <si>
    <t>5.10</t>
  </si>
  <si>
    <t>5.11</t>
  </si>
  <si>
    <t>ACO CA-50A - 12,5 MM (1/2") - (OBRAS CIVIS)</t>
  </si>
  <si>
    <t>ACO CA-50 - 16,0 MM (5/8") - (OBRAS CIVIS)</t>
  </si>
  <si>
    <t>Pilares platibanda</t>
  </si>
  <si>
    <t>Pilares detalhe arquitetônico</t>
  </si>
  <si>
    <t>Viga baldrame</t>
  </si>
  <si>
    <t>Vigas térreo</t>
  </si>
  <si>
    <t>Vigas platibanda</t>
  </si>
  <si>
    <t>Vigas detalhe arquitetônico</t>
  </si>
  <si>
    <t>Pilares térreo</t>
  </si>
  <si>
    <t>Nível + 3,50</t>
  </si>
  <si>
    <t>Nível + 4,55</t>
  </si>
  <si>
    <t>Nível + 6,55</t>
  </si>
  <si>
    <t xml:space="preserve">Pilares (14 x 40): quantidade x altura x nº faces </t>
  </si>
  <si>
    <t xml:space="preserve">Pilares (14 x 65): quantidade x altura x nº faces </t>
  </si>
  <si>
    <t xml:space="preserve">Pilares (20 x 40): quantidade x altura x nº faces </t>
  </si>
  <si>
    <t xml:space="preserve">Pilares (14 x 14): quantidade x altura x nº faces </t>
  </si>
  <si>
    <t>Vigas: (comprimento x altura x nº faces) + (largura * comprimento)</t>
  </si>
  <si>
    <t>Blocos - conforme projeto estrutural</t>
  </si>
  <si>
    <t>5.12</t>
  </si>
  <si>
    <t>ACO CA-50-A - 6,3 MM (1/4") - (OBRAS CIVIS)</t>
  </si>
  <si>
    <t>E</t>
  </si>
  <si>
    <t>4.12</t>
  </si>
  <si>
    <t>LASTRO DE BRITA (OBRAS CIVIS)</t>
  </si>
  <si>
    <t>Conforme item 4.3</t>
  </si>
  <si>
    <t>Espessura</t>
  </si>
  <si>
    <t>Portas (0,80 m) - 22 unidades</t>
  </si>
  <si>
    <t>Portas (1,50 m) - 1 unidades</t>
  </si>
  <si>
    <t>Portas (0,90 m) - 7 unidades</t>
  </si>
  <si>
    <t>Portas (1,60 m) - 8 unidades</t>
  </si>
  <si>
    <t>Portas (1,40 m) - 1 unidades</t>
  </si>
  <si>
    <t>Portas (1,25 m) - 1 unidades</t>
  </si>
  <si>
    <t>Portas (1,00 m) - 35 unidades</t>
  </si>
  <si>
    <t>Portas (3,65 m) - 1 unidades</t>
  </si>
  <si>
    <t>Portas (1,70 m) - 1 unidades</t>
  </si>
  <si>
    <t>Portas (2,00 m) - 5 unidades</t>
  </si>
  <si>
    <t>Verga</t>
  </si>
  <si>
    <t>Janelas (1,00 m) - 24 unidades</t>
  </si>
  <si>
    <t>Janelas (2,00 m) - 18 unidades</t>
  </si>
  <si>
    <t>Janelas (0,80 m) - 17 unidades</t>
  </si>
  <si>
    <t>Janelas (1,50 m) - 15 unidades</t>
  </si>
  <si>
    <t>Janelas (1,20 m) - 10 unidades</t>
  </si>
  <si>
    <t>Espaçamento de 20 cm de cada lado</t>
  </si>
  <si>
    <t>CORPO CX. SIFONADA DIAM. 150 X 150 X 50</t>
  </si>
  <si>
    <t>CORPO CX. SIFONADA DIAM. 150 X 185 X 75</t>
  </si>
  <si>
    <t>CORPO RALO SIFONADO CONICO DIAM. 100 X 40</t>
  </si>
  <si>
    <t>7.130</t>
  </si>
  <si>
    <t>7.131</t>
  </si>
  <si>
    <t>7.132</t>
  </si>
  <si>
    <t>7.133</t>
  </si>
  <si>
    <t>SIFAO P/LAVATORIO PVC DIAM.1"X1.1/2"</t>
  </si>
  <si>
    <t>VALVULA P/LAVATORIO OU BEBEDOURO METALICO DIAMETRO 1"</t>
  </si>
  <si>
    <t>VÁLVULA EM METAL CROMADO 1.1/2 X 1.1/2 PARA TANQUE OU LAVATÓRIO, COM OU SEM LADRÃO - FORNECIMENTO E INSTALAÇÃO. AF_01/2020</t>
  </si>
  <si>
    <t>BUCHA DE REDUCAO LONGA DIAM. 50 X 40 MM</t>
  </si>
  <si>
    <t>C U R V A S</t>
  </si>
  <si>
    <t>CURVA 45 GRAUS DIAMETRO 100 MM</t>
  </si>
  <si>
    <t>CURVA 45 GRAUS, PVC, SOLDÁVEL, DN 50MM, INSTALADO EM PRUMADA DE ÁGUA -FORNECIMENTO E INSTALAÇÃO. AF_12/2014</t>
  </si>
  <si>
    <t>CURVA 45 GRAUS DIAMETRO 40 MM</t>
  </si>
  <si>
    <t>CURVA 90 GRAUS CURTA DIAM. 40 MM</t>
  </si>
  <si>
    <t>CURVA 90 GRAUS CURTA DIAM. 50 MM</t>
  </si>
  <si>
    <t>JOELHO 45 GRAUS DIAMETRO 75 MM</t>
  </si>
  <si>
    <t>JOELHO 90 GRAUS DIAMETRO 100 MM</t>
  </si>
  <si>
    <t>JUNCAO SIMPLES DIAM. 100 X 100 MM</t>
  </si>
  <si>
    <t>JUNCAO SIMPLES DIAMETRO 50 X 50 MM</t>
  </si>
  <si>
    <t>JUNCAO SIMPLES DIAM. 75 X 50 MM</t>
  </si>
  <si>
    <t>R E D U C O E S</t>
  </si>
  <si>
    <t>REDUCAO EXCENTRICA 75 X 50 MM</t>
  </si>
  <si>
    <t>TE SANITARIO DIAMETRO 75 X 50 MM</t>
  </si>
  <si>
    <t>7.134</t>
  </si>
  <si>
    <t>7.135</t>
  </si>
  <si>
    <t>7.136</t>
  </si>
  <si>
    <t>7.137</t>
  </si>
  <si>
    <t>7.138</t>
  </si>
  <si>
    <t>7.139</t>
  </si>
  <si>
    <t>7.140</t>
  </si>
  <si>
    <t>7.141</t>
  </si>
  <si>
    <t>7.142</t>
  </si>
  <si>
    <t>7.143</t>
  </si>
  <si>
    <t>7.144</t>
  </si>
  <si>
    <t>7.145</t>
  </si>
  <si>
    <t>7.146</t>
  </si>
  <si>
    <t>7.147</t>
  </si>
  <si>
    <t>7.148</t>
  </si>
  <si>
    <t>7.149</t>
  </si>
  <si>
    <t>7.150</t>
  </si>
  <si>
    <t>7.151</t>
  </si>
  <si>
    <t>7.152</t>
  </si>
  <si>
    <t>7.153</t>
  </si>
  <si>
    <t>VÁLVULA DE DESCARGA PARA MICTÓRIO DIÂMETRO 1/2" FECHAMENTO AUTOMÁTICO TEMPORIZADO</t>
  </si>
  <si>
    <t>desconto guarda temporária de cadáver</t>
  </si>
  <si>
    <t>TORNEIRA BOIA DIAMETRO 1" (25 MM )</t>
  </si>
  <si>
    <t>CAIXA DE GORDURA 100 L CONCRETO PADRÃO GOINFRA IMPERMEABILIZADA</t>
  </si>
  <si>
    <t>TORNEIRA BOIA DIAMETRO 1.1/4" - 32 MM</t>
  </si>
  <si>
    <t>JUNCAO 45 GRAUS DIAMETRO 40 MM</t>
  </si>
  <si>
    <t>CAIXA DE PASSAGEM 60 X 60 CM SEM TAMPA</t>
  </si>
  <si>
    <t>TAMPA EM CONCRETO ARMADO 25 MPA E=5CM PARA A CAIXA DE PASSAGEM 60X60CM</t>
  </si>
  <si>
    <t>COTAÇÃO</t>
  </si>
  <si>
    <t>CAIXA DE PASSAGEM ESGOTO 42 X 35 X 44</t>
  </si>
  <si>
    <t>7.154</t>
  </si>
  <si>
    <t>-</t>
  </si>
  <si>
    <t>Porta 0,80 x 2,10</t>
  </si>
  <si>
    <t>Porta 0,90 x 2,10</t>
  </si>
  <si>
    <t>Porta 1,00 x 2,10</t>
  </si>
  <si>
    <t>Porta 0,70 x 2,10</t>
  </si>
  <si>
    <t>PINTURA ESMALTE SINTETICO 2 DEMÃOS EM ESQ. MADEIRA</t>
  </si>
  <si>
    <t>Conforme item 15.1</t>
  </si>
  <si>
    <t>Conforme item 15.2</t>
  </si>
  <si>
    <t>Conforme item 15.3</t>
  </si>
  <si>
    <t>Conforme item 15.4</t>
  </si>
  <si>
    <t>Conforme item 15.5</t>
  </si>
  <si>
    <t>Conforme item 15.6</t>
  </si>
  <si>
    <t>Conforme item 15.7</t>
  </si>
  <si>
    <t>Área lateral das vigas (15,00 cm para cada lado)</t>
  </si>
  <si>
    <t>Área construída: conforme item 1.4</t>
  </si>
  <si>
    <t>Área do terreno conforme item 1.2</t>
  </si>
  <si>
    <t xml:space="preserve">Passeio via pública </t>
  </si>
  <si>
    <t>Área dos passeios (internos e via pública)</t>
  </si>
  <si>
    <t>Quantidade construção</t>
  </si>
  <si>
    <t>Bloco monumento (3,10x0,6x0,30)</t>
  </si>
  <si>
    <t>Blocos (1,50x0,60x0,60)</t>
  </si>
  <si>
    <t>Blocos (0,60x0,60x0,55)</t>
  </si>
  <si>
    <t>Verga e Contraverga</t>
  </si>
  <si>
    <t>Lajes</t>
  </si>
  <si>
    <t xml:space="preserve">Arranques </t>
  </si>
  <si>
    <t>Volume conforme item 5.10</t>
  </si>
  <si>
    <t>Área construída conforme item 1.4</t>
  </si>
  <si>
    <t>CAIXA METÁLICA PARA MEDIDOR POLIFÁSICO PADRÃO ENEL 500X380X166MM</t>
  </si>
  <si>
    <t>CINTA DE ACO GALVANIZADO DIAM.190 MM</t>
  </si>
  <si>
    <t>CABECOTE DE LIGA DE ALUMINIO DIAM. 1"</t>
  </si>
  <si>
    <t>ELETRODUTO PVC FLEXÍVEL - MANGUEIRA CORRUGADA REFORÇADA - DIAM. 75MM</t>
  </si>
  <si>
    <t>ELETRODUTO PVC FLEXÍVEL - MANGUEIRA CORRUGADA REFORÇADA - DIAM. 50MM</t>
  </si>
  <si>
    <t>ELETRODUTO PVC FLEXÍVEL - MANGUEIRA CORRUGADA LEVE - DIAM. 20MM</t>
  </si>
  <si>
    <t>ELETRODUTO PVC FLEXÍVEL - MANGUEIRA CORRUGADA LEVE - DIAM. 25MM</t>
  </si>
  <si>
    <t>DISJUNTOR TRIPOLAR 40 A 50A</t>
  </si>
  <si>
    <t>DISJUNTOR MONOPOLAR DE 10 A 32-A</t>
  </si>
  <si>
    <t>DISJUNTOR TRIPOLAR DE 125-A</t>
  </si>
  <si>
    <t>SENSOR DE PRESENÇA COM FOTOCÉLULA, FIXAÇÃO EM PAREDE - FORNECIMENTO E INSTALAÇÃO. AF_02/2020</t>
  </si>
  <si>
    <t>TOMADA HEXAGONAL 2P + T - 20A - 250V</t>
  </si>
  <si>
    <t>INTERRUPTOR SIMPLES 1 SEÇÃO E 1 TOMADA HEXAGONAL 2P + T - 10A CONJUGADOS</t>
  </si>
  <si>
    <t>PULSADOR CAMPAINHA</t>
  </si>
  <si>
    <t>NIPLE METALICO Fo.Zo. DIAMETRO 1"</t>
  </si>
  <si>
    <t>CAIXA METALICA OCTOGONAL FUNDO MOVEL, SIMPLES 2"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</si>
  <si>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</si>
  <si>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</si>
  <si>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</si>
  <si>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</si>
  <si>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</si>
  <si>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</si>
  <si>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</si>
  <si>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</si>
  <si>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</si>
  <si>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</si>
  <si>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</si>
  <si>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</si>
  <si>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</si>
  <si>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</si>
  <si>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</si>
  <si>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</si>
  <si>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</si>
  <si>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</si>
  <si>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</si>
  <si>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</si>
  <si>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</si>
  <si>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</si>
  <si>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</si>
  <si>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</si>
  <si>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</si>
  <si>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</si>
  <si>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</si>
  <si>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</si>
  <si>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</si>
  <si>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</si>
  <si>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</si>
  <si>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</si>
  <si>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</si>
  <si>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</si>
  <si>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BUCHA E ARRUELA METALICA DIAM. 1"</t>
  </si>
  <si>
    <t>BUCHA E ARRUELA METALICA DIAM. 1.1/2"</t>
  </si>
  <si>
    <t>BUCHA E ARRUELA METALICA DIAM. 1/2"</t>
  </si>
  <si>
    <t>CAIXA METALICA RET. 4" X 2" X 2"</t>
  </si>
  <si>
    <t>CURVA 180 GRAUS PARA ELETRODUTO, PVC, ROSCÁVEL, DN 32 MM (1"), PARA CIRCUITOS TERMINAIS, INSTALADA EM FORRO - FORNECIMENTO E INSTALAÇÃO. AF_
12/2015</t>
  </si>
  <si>
    <t>CURVA 90 GRAUS PARA ELETRODUTO, PVC, ROSCÁVEL, DN 32 MM (1"), PARA CIRCUITOS TERMINAIS, INSTALADA EM FORRO - FORNECIMENTO E INSTALAÇÃO. AF_1
2/2015</t>
  </si>
  <si>
    <t>LUVA PVC ROSQUEAVEL DIAMETRO 1"</t>
  </si>
  <si>
    <t>NIPLE DE FERRO GALVANIZADO, COM ROSCA BSP, DE 1 1/2"</t>
  </si>
  <si>
    <t>NIPLE DE FERRO GALVANIZADO, COM ROSCA BSP, DE 3/4"</t>
  </si>
  <si>
    <t>CABO ISOLADO PVC 750 V. No. 10 MM2</t>
  </si>
  <si>
    <t>CABO ISOLADO PVC 750 V, No. 16 MM2</t>
  </si>
  <si>
    <t>CABO ISOLADO PVC 750 V. No. 2,5 MM2</t>
  </si>
  <si>
    <t>CABO ISOLADO PVC 750 V, No. 25 MM2</t>
  </si>
  <si>
    <t>CABO ISOLADO PVC 750 V. No. 4 MM2</t>
  </si>
  <si>
    <t>CABO ISOLADO PVC 750 V. No. 6 MM2</t>
  </si>
  <si>
    <t>CAMPAINHA CIGARRA (1 MÓDULO), 10A/250V, INCLUINDO SUPORTE E PLACA - FORNECIMENTO E INSTALAÇÃO. AF_09/2017</t>
  </si>
  <si>
    <t>INTERRUPTOR PARALELO SIMPLES (1 SECAO)</t>
  </si>
  <si>
    <t>INTERRUPTOR PARALELO DUPLO (2 SECOES)</t>
  </si>
  <si>
    <t xml:space="preserve">INTERRUPTOR INTERMEDIARIO </t>
  </si>
  <si>
    <t>INTERRUPTOR PARALELO (3 MÓDULOS), 10A/250V, INCLUINDO SUPORTE E PLACA - FORNECIMENTO E INSTALAÇÃO. AF_12/2015</t>
  </si>
  <si>
    <t>INTERRUPTOR SIMPLES (2 SECOES)</t>
  </si>
  <si>
    <t>INTERRUPTOR SIMPLES (1 SECAO)</t>
  </si>
  <si>
    <t>DISJUNTOR TRIPOLAR DE 60 A 100-A</t>
  </si>
  <si>
    <t>ELETRODUTO DE PVC RIGIDO DIAMETRO 1/2"</t>
  </si>
  <si>
    <t>LUMINÁRIA DE EMBUTIR COM REFLETOR DE ALUMÍNIO E ALETAS 2X28W - INCLUSO CORTE NO FORRO</t>
  </si>
  <si>
    <t>ELETRODUTO DE PVC RIGIDO DIAMETRO 1.1/4"</t>
  </si>
  <si>
    <t>LUMINÁRIA TIPO PLAFON DE EMBUTIR QUADRADA PARA 2 LÂMPADAS - INCLUSO CORTE NO FORRO</t>
  </si>
  <si>
    <t>REATOR ELETRÔNICO AFP 2 X 28W</t>
  </si>
  <si>
    <t>LAMPADA COMPACTA ELETRÔNICA COM REATOR INTEGRADO 25/26 W</t>
  </si>
  <si>
    <t>LÂMPADA FLUORESCENTE TUBULAR T5 DE 28 W</t>
  </si>
  <si>
    <t>LUMINÁRIA TIPO ARANDELA DE USO EXTERNO - BASE E-27</t>
  </si>
  <si>
    <t>BUCHA DE NYLON S-5</t>
  </si>
  <si>
    <t>PARAFUSO P/BUCHA S-5</t>
  </si>
  <si>
    <t>TOMADA LOGICA RJ-45 TIPO KEYSTONE JACK, CAT. 6</t>
  </si>
  <si>
    <t>TOMADA TELEFÔNICA RJ-11</t>
  </si>
  <si>
    <t>QUADRO DE DISTRIBUIÇÃO DE EMBUTIR METÁLICO CB-24E - 150A</t>
  </si>
  <si>
    <t>CABO PVC (70ºC) 1 KV No. 50 MM2</t>
  </si>
  <si>
    <t>DISPOSITIVO DE PROTEÇÃO CONTRA SURTOS (D.P.S.) 275V DE 90KA</t>
  </si>
  <si>
    <t>CABO PVC (70ºC) 1 KV No. 95 MM2</t>
  </si>
  <si>
    <t>ISOLADOR ROLDANA PORCELANA 72 X 72</t>
  </si>
  <si>
    <t>HASTE CANTONEIRA 2,40 M C/CONECTOR</t>
  </si>
  <si>
    <t>CABO UTP-4P, CAT. 6 , 24 AWG</t>
  </si>
  <si>
    <t>CABO TELEFONICO CI-50,20 PARES (USO INTERNO)</t>
  </si>
  <si>
    <t>LUMINÁRIA TIPO PLAFON EM PLÁSTICO, DE SOBREPOR, COM 1 LÂMPADA FLUORESCENTE DE 15 W, SEM REATOR - FORNECIMENTO E INSTALAÇÃO. AF_02/2020</t>
  </si>
  <si>
    <t>CURVA 180 GRAUS PARA ELETRODUTO, PVC, ROSCÁVEL, DN 32 MM (1"), PARA CIRCUITOS TERMINAIS, INSTALADA EM FORRO - FORNECIMENTO E INSTALAÇÃO. AF_12/2015</t>
  </si>
  <si>
    <t>CURVA 90 GRAUS PARA ELETRODUTO, PVC, ROSCÁVEL, DN 32 MM (1"), PARA CIRCUITOS TERMINAIS, INSTALADA EM FORRO - FORNECIMENTO E INSTALAÇÃO. AF_12/2015</t>
  </si>
  <si>
    <t>TOMADA MÉDIA DE EMBUTIR (2 MÓDULOS), 2P+T 20 A, INCLUINDO SUPORTE E PLACA - FORNECIMENTO E INSTALAÇÃO. AF_12/2015</t>
  </si>
  <si>
    <t>RELE FOTO ELETRICO COM BASE</t>
  </si>
  <si>
    <t xml:space="preserve">ELETRODUTO PVC FLEXÍVEL - MANGUEIRA CORRUGADA LEVE - DIAM. 32MM </t>
  </si>
  <si>
    <t xml:space="preserve">ELETRODUTO PVC FLEXÍVEL - MANGUEIRA CORRUGADA REFORÇADA - DIAM. 40MM </t>
  </si>
  <si>
    <t>PADRAO TRIFASICO 35 MM H=5 METROS</t>
  </si>
  <si>
    <t>CAIXA DE PASSAGEM METÁLICA DE EMBUTIR 20X20X10 CM</t>
  </si>
  <si>
    <t>pr</t>
  </si>
  <si>
    <t>REFLETOR HOLOFOTE LED 10W A PROVA D'ÁGUA A PROVA IP66 - BRANCO FRIO 6000 K</t>
  </si>
  <si>
    <t>SIFAO PVC P/PIA 1.1/2" X 2"</t>
  </si>
  <si>
    <t>VALVULA P/PIA TIPO AMERICANA DIAM.3.1/2" (METAL)</t>
  </si>
  <si>
    <t>TUBO SOLDAVEL PVC MARROM DIAM.40 mm</t>
  </si>
  <si>
    <t xml:space="preserve">BUCHA DE REDUCAO SOLD.CURTA 32 X 25 mm </t>
  </si>
  <si>
    <t>LUVAS</t>
  </si>
  <si>
    <t>DIVISORIA DE GRANITO POLIDO</t>
  </si>
  <si>
    <t>Altura impermeabilização Vigas baldrame</t>
  </si>
  <si>
    <t>Desconto área entrada ambulância</t>
  </si>
  <si>
    <t>TOTAL: A - B</t>
  </si>
  <si>
    <t>12.2</t>
  </si>
  <si>
    <t>Comprimento por unidade</t>
  </si>
  <si>
    <t>Quantidade portas 2x0,70x2,10</t>
  </si>
  <si>
    <t>Quantidade portas 2x0,80x2,10</t>
  </si>
  <si>
    <t>TOTAL: (A x B) + ( C X D)</t>
  </si>
  <si>
    <t xml:space="preserve">TOTAL = (A -  B) </t>
  </si>
  <si>
    <t>DESCONTOS</t>
  </si>
  <si>
    <t>Área total de piso UPA</t>
  </si>
  <si>
    <t>TOTAL: A + B</t>
  </si>
  <si>
    <t>TOTAL = A -B</t>
  </si>
  <si>
    <t>BARRA DE APOIO LATERAL ARTICULADA, COM TRAVA, EM ACO INOX POLIDO, FIXA DA NA PAREDE - FORNECIMENTO E INSTALAÇÃO. AF_01/2020</t>
  </si>
  <si>
    <t>BANCO ARTICULADO, EM ACO INOX, PARA PCD, FIXADO NA PAREDE - FORNECIMENTO E INSTALAÇÃO. AF_01/2020</t>
  </si>
  <si>
    <t>BARRA DE APOIO EM "L", EM ACO INOX POLIDO 70 X 70 CM, FIXADA NA PAREDE - FORNECIMENTO E INSTALACAO. AF_01/2020</t>
  </si>
  <si>
    <t>I.S. PNE 2 (horizontal e vertical)</t>
  </si>
  <si>
    <t>I.S. PNE 3  (horizontal e vertical)</t>
  </si>
  <si>
    <t>I.S. PNE 4  (horizontal e vertical)</t>
  </si>
  <si>
    <t>I.S. PNE 5  (horizontal e vertical)</t>
  </si>
  <si>
    <t>20.7</t>
  </si>
  <si>
    <t>20.8</t>
  </si>
  <si>
    <t>20.9</t>
  </si>
  <si>
    <t xml:space="preserve">Portas vai e vem (5 unidades de 1,60m) </t>
  </si>
  <si>
    <t>área de portas x3 e área de janelas x2</t>
  </si>
  <si>
    <t xml:space="preserve">  </t>
  </si>
  <si>
    <t>Área muro externo</t>
  </si>
  <si>
    <t>PINTURA LATEX ACRILICA 2 DEMAOS C/SELADOR</t>
  </si>
  <si>
    <t>Área muro externo (2 faces)</t>
  </si>
  <si>
    <t>Área alvenaria interna: conforme item 9.1.B (2 faces)</t>
  </si>
  <si>
    <t>23.8</t>
  </si>
  <si>
    <t>Área conforme item 23.6</t>
  </si>
  <si>
    <t xml:space="preserve">Área conforme projeto arquitetônico </t>
  </si>
  <si>
    <t>Fachada frontal (0,60 * 7)</t>
  </si>
  <si>
    <t>Fachada frontal (0,45 * 38,00)</t>
  </si>
  <si>
    <t>Conforme item 19.3</t>
  </si>
  <si>
    <t>Área de piso concretado</t>
  </si>
  <si>
    <t>LOCACAO DE CONTAINER 2,30 X 4,30 M, ALT. 2,50 M, P/ SANITARIO, C/ 5 BACIAS, 1 LAVATORIO E 4 MICTORIOS</t>
  </si>
  <si>
    <t>MÊS</t>
  </si>
  <si>
    <t>1.9</t>
  </si>
  <si>
    <t xml:space="preserve">CONSUMO DE ESGOTO </t>
  </si>
  <si>
    <t>Reaterro das vigas baldrames</t>
  </si>
  <si>
    <t>Área construída e passeios</t>
  </si>
  <si>
    <t>Blocos (1,50x0,60)</t>
  </si>
  <si>
    <t>Blocos (0,60x0,60)</t>
  </si>
  <si>
    <t>Bloco monumento (3,10x0,6)</t>
  </si>
  <si>
    <t xml:space="preserve">TOTAL  = (A x B) + (C x D) + E </t>
  </si>
  <si>
    <t>TOTAL  = (A x B) + (C x D) + E</t>
  </si>
  <si>
    <t>TOTAL = A * ( B + C )</t>
  </si>
  <si>
    <t>área total de formas: blocos</t>
  </si>
  <si>
    <t>peso total: comprimento aço X massa linear</t>
  </si>
  <si>
    <t>Área de forma</t>
  </si>
  <si>
    <t>Volume de concreto</t>
  </si>
  <si>
    <t xml:space="preserve">COTOVELO EM COBRE, DN 15 MM, 90 GRAUS, SEM ANEL DE SOLDA, INSTALADO EM RAMAL DE DISTRIBUIÇÃO FORNECIMENTO E INSTALAÇÃO. AF_12/2015 </t>
  </si>
  <si>
    <t>COTOVELO EM COBRE, DN 22 MM, 90 GRAUS, SEM ANEL DE SOLDA, INSTALADO EM PRUMADA FORNECIMENTO E INSTALAÇÃO. AF_12/2015</t>
  </si>
  <si>
    <t xml:space="preserve"> LUVA EM COBRE, DN 15 MM, SEM ANEL DE SOLDA, INSTALADO EM RAMAL DE DISTRIBUIÇÃO FORNECIMENTO E INSTALAÇÃO. AF_12/2015</t>
  </si>
  <si>
    <t xml:space="preserve"> LUVA EM COBRE, DN 22 MM, SEM ANEL DE SOLDA, INSTALADO EM RAMAL DE DISTRIBUIÇÃO FORNECIMENTO E INSTALAÇÃO. AF_12/2015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</si>
  <si>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</si>
  <si>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</si>
  <si>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</si>
  <si>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</si>
  <si>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</si>
  <si>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</si>
  <si>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</si>
  <si>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</si>
  <si>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</si>
  <si>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</si>
  <si>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BUCHA DE REDUÇÃO EM COBRE, DN 22 MM X 15 MM, SEM ANEL DE SOLDA, BOLSA X BOLSA, INSTALADO EM PRUMADA FORNECIMENTO E INSTALAÇÃO. AF_01/2016</t>
  </si>
  <si>
    <t>TUBO EM COBRE RÍGIDO, DN 15 MM, CLASSE A, SEM ISOLAMENTO, INSTALADO EM RAMAL DE DISTRIBUIÇÃO FORNECIMENTO E INSTALAÇÃO. AF_12/2015</t>
  </si>
  <si>
    <t>TUBO EM COBRE RÍGIDO, DN 22 MM, CLASSE A, SEM ISOLAMENTO, INSTALADO EM PRUMADA FORNECIMENTO E INSTALAÇÃO. AF_12/2015</t>
  </si>
  <si>
    <t>PONTO CONSUMO OXIGENIO MED</t>
  </si>
  <si>
    <t>PONTO CONSUMO AR COMPRIMIDO</t>
  </si>
  <si>
    <t>PONTO CONSUMO VACUO</t>
  </si>
  <si>
    <t>VALVULA ESP. TRIPARTIDA 1/2</t>
  </si>
  <si>
    <t>CENTRAL DE ALARME</t>
  </si>
  <si>
    <t>SOLDA PRATA</t>
  </si>
  <si>
    <t>PASTA FLUXO</t>
  </si>
  <si>
    <t>CONECTOR DE 1/2 MACHO</t>
  </si>
  <si>
    <t>CENTRAL MANIFOLD DUPLA PARA CILINDROS</t>
  </si>
  <si>
    <t>CONTRATOS</t>
  </si>
  <si>
    <t>Quantidade base do monumento</t>
  </si>
  <si>
    <t>Cobogós</t>
  </si>
  <si>
    <t>25.3</t>
  </si>
  <si>
    <t>25.4</t>
  </si>
  <si>
    <t>25.5</t>
  </si>
  <si>
    <t>25.6</t>
  </si>
  <si>
    <t>25.7</t>
  </si>
  <si>
    <t>25.8</t>
  </si>
  <si>
    <t>25.9</t>
  </si>
  <si>
    <t>25.10</t>
  </si>
  <si>
    <t xml:space="preserve">REGULARIZAÇÃO E COMPACTAÇÃO DO SUB-LEITO </t>
  </si>
  <si>
    <t xml:space="preserve">ESCAVAÇÃO E CARGA MAT. DE JAZIDA-COM INDENIZAÇÃO </t>
  </si>
  <si>
    <t xml:space="preserve">TRANSPORTE DE MATERIAL DE JAZIDA (CASCALHO) </t>
  </si>
  <si>
    <t xml:space="preserve">m3km </t>
  </si>
  <si>
    <t xml:space="preserve">IMPRIMAÇÃO </t>
  </si>
  <si>
    <t xml:space="preserve">TRATAMENTO SUPERFICIAL DUPLO - TSD (BC) </t>
  </si>
  <si>
    <t xml:space="preserve">FORNECIMENTO DE CM-30 </t>
  </si>
  <si>
    <t>T</t>
  </si>
  <si>
    <t xml:space="preserve">FORNECIMENTO DE EMULSÃO RR-2C </t>
  </si>
  <si>
    <t>CAPA SELANTE C/ PÓ DE PEDRA (BC)</t>
  </si>
  <si>
    <t>25.11</t>
  </si>
  <si>
    <t>12.3</t>
  </si>
  <si>
    <t xml:space="preserve">MARQUISE EM ACM (11,16 X 1,30) </t>
  </si>
  <si>
    <t>MARQUISE EM ACM (17,32 X 2,57)</t>
  </si>
  <si>
    <t>14.7</t>
  </si>
  <si>
    <t>PORTA DE ABRIR EM CHAPA DE MADEIRA COM PROTEÇÃO RADIOLÓGICA (0,90 X 2,10)</t>
  </si>
  <si>
    <t>PORTA DE ABRIR EM CHAPA DE MADEIRA COM PROTEÇÃO RADIOLÓGICA (1,40 X 2,10)</t>
  </si>
  <si>
    <t>Sala de Exames Radiologia geral</t>
  </si>
  <si>
    <t>Laboratório de processamento câmara escura</t>
  </si>
  <si>
    <t>14.8</t>
  </si>
  <si>
    <t>5.13</t>
  </si>
  <si>
    <t>EPS 20 MM PARA JUNTA DILATAÇÃO</t>
  </si>
  <si>
    <t>Comprimento total juntas de dilatação</t>
  </si>
  <si>
    <t>TOTAL: A x B</t>
  </si>
  <si>
    <t>FORMA - CH.COMPENSADA 17MM PLAST REAP 7 V. - (OBRAS CIVIS</t>
  </si>
  <si>
    <t>Largura média</t>
  </si>
  <si>
    <t>MURO DE ALVENARIA TIJOLO FURADO 1/2 VEZ ( H=2,50M) COM FUNDAÇÃO - SEM
REVESTIMENTOS (PADRÃO GOINFRA)</t>
  </si>
  <si>
    <t>RES.METALICO TAÇA AÇO PATINÁVEL-V=10M3 COL.SEC.H=6M+FUNDAÇÃO+LOGOTIPO</t>
  </si>
  <si>
    <t>CURVA 90 GRAUS CURTA DIAM. 100 MM</t>
  </si>
  <si>
    <t>TUBO LEVE PVC RIGIDO DIAMETRO 150 MM</t>
  </si>
  <si>
    <t>7.4</t>
  </si>
  <si>
    <t>7.5</t>
  </si>
  <si>
    <t>7.11</t>
  </si>
  <si>
    <t>7.26</t>
  </si>
  <si>
    <t>7.42</t>
  </si>
  <si>
    <t>7.59</t>
  </si>
  <si>
    <t>7.64</t>
  </si>
  <si>
    <t>7.65</t>
  </si>
  <si>
    <t>7.66</t>
  </si>
  <si>
    <t>7.67</t>
  </si>
  <si>
    <t>7.68</t>
  </si>
  <si>
    <t>7.103</t>
  </si>
  <si>
    <t>7.120</t>
  </si>
  <si>
    <t>7.124</t>
  </si>
  <si>
    <t>7.125</t>
  </si>
  <si>
    <t>7.155</t>
  </si>
  <si>
    <t>13.5</t>
  </si>
  <si>
    <t>Condutores verticais (pluvial)</t>
  </si>
  <si>
    <t>Pingadeiras</t>
  </si>
  <si>
    <t>Comprimento</t>
  </si>
  <si>
    <t>área: comprimento x largura</t>
  </si>
  <si>
    <t>CAIXA DE AREIA 40X40CM FUNDO DE BRITA COM GRELHA METÁLICA FERRO CHATO
PADRÃO GOINFRA</t>
  </si>
  <si>
    <t>CAIXA DE AREIA 40X40CM FUNDO DE BRITA COM GRELHA METÁLICA FERRO CHATO PADRÃO GOINFRA</t>
  </si>
  <si>
    <t>17.5</t>
  </si>
  <si>
    <t>REVESTIMENTO COM BARITA - RX GABINETE MÉDICO</t>
  </si>
  <si>
    <t>Área alvenaria Sala Exames Radiologia Geral</t>
  </si>
  <si>
    <t>Teto Sala Exames Radiologia Geral</t>
  </si>
  <si>
    <t xml:space="preserve">                       Agência Nacional do Petróleo, Gás Natural e Biocombustíveis</t>
  </si>
  <si>
    <t xml:space="preserve">                       Superintendência de Defesa da Concorrência, Estudos e Regulação Econômica</t>
  </si>
  <si>
    <t>PREÇO MÉDIO MENSAL PONDERADO PRATICADO PELOS DISTRIBUIDORES DE PRODUTOS ASFÁLTICOS (R$/KG)</t>
  </si>
  <si>
    <t>REFERÊNCIA: ESTADO GOIÁS - MAIO/2020</t>
  </si>
  <si>
    <t>CÓDIGO</t>
  </si>
  <si>
    <t>PRODUTO</t>
  </si>
  <si>
    <t>CUSTO/KG</t>
  </si>
  <si>
    <t>REFERENCIAL</t>
  </si>
  <si>
    <t xml:space="preserve">CUSTO/T  </t>
  </si>
  <si>
    <t>ICMS  17,00%</t>
  </si>
  <si>
    <t>CUSTO S/ FRETE</t>
  </si>
  <si>
    <t>ASFALTOS DILUÍDOS CM-30</t>
  </si>
  <si>
    <t>Goiás</t>
  </si>
  <si>
    <t>EMULSÕES ASFÁLTICAS RR-2C</t>
  </si>
  <si>
    <t>_______________________________________________________________</t>
  </si>
  <si>
    <t>CREA: 7455/D-GO</t>
  </si>
  <si>
    <t>CUSTO DO FRETE - PORTARIA 1977/2017 - DNIT</t>
  </si>
  <si>
    <t>TRANSPORTE COMERCIAL DE MATERIAL BETUMINOSO - CM 30 / RR 2C</t>
  </si>
  <si>
    <t>NATUREZA DO TRANSPORTE</t>
  </si>
  <si>
    <t>RODOVIA PAVIMENTADA</t>
  </si>
  <si>
    <t>EQUAÇÕES TARIFÁRIAS DE TRANSPORTES (T)</t>
  </si>
  <si>
    <t xml:space="preserve">(26,939 + 0,253 * D) * IPAV </t>
  </si>
  <si>
    <t>DMT (KM)</t>
  </si>
  <si>
    <t>VALOR DO FRETE (R$/T)</t>
  </si>
  <si>
    <t>PINTURA DE LIGAÇÃO</t>
  </si>
  <si>
    <t>Pavimentação interna</t>
  </si>
  <si>
    <t>Pavimentação rotatória</t>
  </si>
  <si>
    <t>empolamento</t>
  </si>
  <si>
    <t>m3km</t>
  </si>
  <si>
    <t>Distancia (jazida x centro de massa)</t>
  </si>
  <si>
    <t>Área de pavimentação: conforme item 25.3</t>
  </si>
  <si>
    <t>Volume de escavação empolado</t>
  </si>
  <si>
    <t>km</t>
  </si>
  <si>
    <t>Taxa de aplicação</t>
  </si>
  <si>
    <t>t/m²</t>
  </si>
  <si>
    <t>peso</t>
  </si>
  <si>
    <t>espessura</t>
  </si>
  <si>
    <t>Taxa de aplicação 1º camada</t>
  </si>
  <si>
    <t>Taxa de aplicação 2º camada</t>
  </si>
  <si>
    <t>TRANSPORTE COMERCIAL DE AGREGADOS</t>
  </si>
  <si>
    <t xml:space="preserve">Distância </t>
  </si>
  <si>
    <t>Volume necessário (consumo 0,0213 m3/m2)</t>
  </si>
  <si>
    <t>25.12</t>
  </si>
  <si>
    <t>LUMINÁRIA TIPO PLAFON DE SOBREPOR QUADRADA PARA 02 LÂMPADAS</t>
  </si>
  <si>
    <t>6.68</t>
  </si>
  <si>
    <t>CAIXA DE INCÊNDIO METÁLICA COM SUPORTE PARA MANGUEIRA, TAMPA E MURETA
17X60X90 CM C/PINTURA</t>
  </si>
  <si>
    <t>CAIXA DE PASSEIO C/TAMPA DE FERRO FUNDIDO 40X60 CM P/INCÊNDIO</t>
  </si>
  <si>
    <t>MANGUEIRA DE INCÊNDIO D.I. = 38 MM TIPO 2 COMP. = 15 M</t>
  </si>
  <si>
    <t>cj</t>
  </si>
  <si>
    <t>ESGUICHO REGULÁVEL 1.1/2"</t>
  </si>
  <si>
    <t>ADAPTADOR P/ENGATE STORZ 2.1/2" X 1.1/2"</t>
  </si>
  <si>
    <t>REGISTRO GLOBO ANGULAR 2.1/2"</t>
  </si>
  <si>
    <t>AVISADOR SONORO E VISUAL</t>
  </si>
  <si>
    <t>TÊ DE FERRO GALVANIZADO 90º X 2 1/2"</t>
  </si>
  <si>
    <t>NIPLE DUPLO FERRO GALVANIZADO 2.1/2"</t>
  </si>
  <si>
    <t>COTOVELO DE FERRO GALVANIZADO 90º X 2 1/2"</t>
  </si>
  <si>
    <t>MANOMETRO - 0 A 10 KG/CM2</t>
  </si>
  <si>
    <t>BOMBA RECALQUE D'AGUA TRIFASICA 3,0 HP</t>
  </si>
  <si>
    <t>VÁLVULA DE RETENÇÃO VERTICAL 2.1/2"</t>
  </si>
  <si>
    <t>TUBO DE AÇO GALVANIZADO COM COSTURA, CLASSE MÉDIA, CONEXÃO RANHURADA,DN 65 (2 1/2"), INSTALADO EM PRUMADAS - FORNECIMENTO E INSTALAÇÃO. AF 10/2020</t>
  </si>
  <si>
    <t>24.10</t>
  </si>
  <si>
    <t>PEITORIL LINEAR EM GRANITO OU MÁRMORE, L = 15CM, COMPRIMENTO DE ATÉ 2M, ASSENTADO COM ARGAMASSA 1:6 COM ADITIVO. AF_11/2020</t>
  </si>
  <si>
    <t>Comprimento total esquadrias</t>
  </si>
  <si>
    <t>BDI (23,88 %)</t>
  </si>
  <si>
    <t>24.11</t>
  </si>
  <si>
    <t>BANCO DE CONCRETO POLIDO BASE EM ALVENARIA REBOCADA E PINTADA - PADRÃO GOINFRA</t>
  </si>
  <si>
    <t>Quantidade Bancos da fachada</t>
  </si>
  <si>
    <t>Comprimento cada banco</t>
  </si>
  <si>
    <t>PAVIMENTAÇÃO URBANA*</t>
  </si>
  <si>
    <t>* ITENS DE PAVIMENTAÇÃO URBANA COM BDI INCLUSO DE 26,24%</t>
  </si>
  <si>
    <t>BDI  17,09%</t>
  </si>
  <si>
    <t>7º MÊS</t>
  </si>
  <si>
    <t>8º MÊS</t>
  </si>
  <si>
    <t>9º MÊS</t>
  </si>
  <si>
    <t>10º MÊS</t>
  </si>
  <si>
    <t>11º MÊS</t>
  </si>
  <si>
    <t>12º MÊS</t>
  </si>
  <si>
    <t xml:space="preserve">SETOR         </t>
  </si>
  <si>
    <t xml:space="preserve">OBJETO      </t>
  </si>
  <si>
    <t xml:space="preserve">TABELAS     </t>
  </si>
  <si>
    <t xml:space="preserve">DATA           </t>
  </si>
  <si>
    <r>
      <t>TOTAL=</t>
    </r>
    <r>
      <rPr>
        <b/>
        <sz val="9"/>
        <color theme="1"/>
        <rFont val="Calibri"/>
        <family val="2"/>
      </rPr>
      <t>A+B+C+D</t>
    </r>
  </si>
  <si>
    <t>23,88% - 17,09% - 26,24%</t>
  </si>
  <si>
    <t>TERÇA FEIRA, 9 DE FEVEREIRO DE 2021</t>
  </si>
  <si>
    <t>TABELA DE TERRAPLENAGEM, PAVIMENTAÇÃO E OBRAS DE ARTE ESPECIAIS - MAR/18 - COM DESONERAÇÃO (T135) - DATA BASE: 01/03/2018</t>
  </si>
  <si>
    <t>MONUMENTO/TOTTEN EM ACM E ESTRUTURA METÁLICA (3,973 X 3,06)</t>
  </si>
  <si>
    <t>CENTRO ATENDIMENTO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</si>
</sst>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&quot;R$&quot;\ #,##0.00"/>
    <numFmt numFmtId="167" formatCode="0.0000"/>
    <numFmt numFmtId="168" formatCode="[$-F800]dddd\,\ mmmm\ dd\,\ yyyy"/>
    <numFmt numFmtId="169" formatCode="0.0%"/>
    <numFmt numFmtId="170" formatCode="0.00000"/>
    <numFmt numFmtId="171" formatCode="0.000"/>
    <numFmt numFmtId="172" formatCode="&quot;R$&quot;\ #,##0.00000"/>
    <numFmt numFmtId="173" formatCode="0.00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8"/>
      <color rgb="FF005BAA"/>
      <name val="Courie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165" fontId="4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2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4" xfId="0" applyBorder="1"/>
    <xf numFmtId="0" fontId="0" fillId="0" borderId="0" xfId="0" applyProtection="1"/>
    <xf numFmtId="0" fontId="0" fillId="0" borderId="0" xfId="0" applyFill="1" applyProtection="1"/>
    <xf numFmtId="0" fontId="5" fillId="0" borderId="0" xfId="0" applyFont="1" applyAlignment="1" applyProtection="1">
      <alignment horizontal="center" vertical="center"/>
    </xf>
    <xf numFmtId="44" fontId="5" fillId="0" borderId="0" xfId="4" applyNumberFormat="1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/>
    <xf numFmtId="0" fontId="6" fillId="0" borderId="0" xfId="0" applyFont="1" applyBorder="1" applyAlignment="1"/>
    <xf numFmtId="10" fontId="6" fillId="0" borderId="0" xfId="3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/>
    <xf numFmtId="166" fontId="6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5" xfId="0" applyBorder="1"/>
    <xf numFmtId="166" fontId="6" fillId="0" borderId="25" xfId="0" applyNumberFormat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8" fillId="0" borderId="38" xfId="7" applyNumberFormat="1" applyFont="1" applyBorder="1" applyAlignment="1">
      <alignment horizontal="center" vertical="center"/>
    </xf>
    <xf numFmtId="4" fontId="8" fillId="0" borderId="39" xfId="7" applyNumberFormat="1" applyFont="1" applyBorder="1" applyAlignment="1">
      <alignment horizontal="center" vertical="center"/>
    </xf>
    <xf numFmtId="0" fontId="9" fillId="0" borderId="4" xfId="0" applyFont="1" applyBorder="1"/>
    <xf numFmtId="0" fontId="6" fillId="0" borderId="0" xfId="0" applyFont="1" applyBorder="1" applyAlignment="1">
      <alignment wrapText="1"/>
    </xf>
    <xf numFmtId="0" fontId="5" fillId="0" borderId="0" xfId="0" applyFont="1" applyAlignment="1" applyProtection="1">
      <alignment horizontal="left" vertical="center" wrapText="1"/>
    </xf>
    <xf numFmtId="0" fontId="0" fillId="3" borderId="0" xfId="0" applyFill="1" applyProtection="1"/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</xf>
    <xf numFmtId="44" fontId="0" fillId="0" borderId="20" xfId="4" applyFont="1" applyFill="1" applyBorder="1"/>
    <xf numFmtId="44" fontId="1" fillId="0" borderId="10" xfId="4" applyFont="1" applyBorder="1"/>
    <xf numFmtId="44" fontId="0" fillId="0" borderId="20" xfId="4" applyFont="1" applyBorder="1"/>
    <xf numFmtId="0" fontId="0" fillId="0" borderId="20" xfId="0" applyFont="1" applyBorder="1"/>
    <xf numFmtId="0" fontId="0" fillId="0" borderId="48" xfId="0" applyFont="1" applyBorder="1"/>
    <xf numFmtId="0" fontId="1" fillId="0" borderId="21" xfId="0" applyFont="1" applyBorder="1" applyAlignment="1">
      <alignment horizontal="center" vertical="center"/>
    </xf>
    <xf numFmtId="10" fontId="0" fillId="0" borderId="12" xfId="3" applyNumberFormat="1" applyFont="1" applyBorder="1" applyAlignment="1">
      <alignment horizontal="center"/>
    </xf>
    <xf numFmtId="10" fontId="0" fillId="0" borderId="12" xfId="0" applyNumberFormat="1" applyFont="1" applyBorder="1" applyAlignment="1">
      <alignment horizontal="center"/>
    </xf>
    <xf numFmtId="44" fontId="0" fillId="0" borderId="12" xfId="0" applyNumberFormat="1" applyFont="1" applyBorder="1"/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5" xfId="0" applyFont="1" applyBorder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5" xfId="0" applyFont="1" applyBorder="1" applyAlignment="1"/>
    <xf numFmtId="0" fontId="0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center"/>
    </xf>
    <xf numFmtId="4" fontId="7" fillId="0" borderId="33" xfId="7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/>
    <xf numFmtId="0" fontId="1" fillId="5" borderId="12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3" fillId="0" borderId="0" xfId="0" applyFont="1"/>
    <xf numFmtId="10" fontId="13" fillId="0" borderId="0" xfId="0" applyNumberFormat="1" applyFont="1"/>
    <xf numFmtId="0" fontId="0" fillId="0" borderId="0" xfId="0" applyFill="1"/>
    <xf numFmtId="0" fontId="16" fillId="0" borderId="12" xfId="1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Protection="1"/>
    <xf numFmtId="0" fontId="14" fillId="3" borderId="0" xfId="0" applyFont="1" applyFill="1" applyProtection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Protection="1"/>
    <xf numFmtId="2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wrapText="1"/>
    </xf>
    <xf numFmtId="17" fontId="0" fillId="3" borderId="4" xfId="0" applyNumberForma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3" fillId="3" borderId="0" xfId="3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1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172" fontId="0" fillId="0" borderId="12" xfId="0" applyNumberFormat="1" applyBorder="1" applyAlignment="1">
      <alignment horizontal="distributed" vertical="justify" indent="1"/>
    </xf>
    <xf numFmtId="166" fontId="10" fillId="0" borderId="12" xfId="0" applyNumberFormat="1" applyFont="1" applyBorder="1" applyAlignment="1">
      <alignment horizontal="distributed" vertical="justify" indent="1"/>
    </xf>
    <xf numFmtId="166" fontId="0" fillId="0" borderId="12" xfId="0" applyNumberFormat="1" applyBorder="1" applyAlignment="1">
      <alignment horizontal="distributed" vertical="justify" indent="1"/>
    </xf>
    <xf numFmtId="166" fontId="0" fillId="0" borderId="13" xfId="0" applyNumberFormat="1" applyBorder="1" applyAlignment="1">
      <alignment horizontal="distributed" vertical="justify" indent="1"/>
    </xf>
    <xf numFmtId="0" fontId="0" fillId="0" borderId="74" xfId="0" applyNumberFormat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172" fontId="0" fillId="0" borderId="39" xfId="0" applyNumberFormat="1" applyBorder="1" applyAlignment="1">
      <alignment horizontal="distributed" vertical="justify" indent="1"/>
    </xf>
    <xf numFmtId="166" fontId="10" fillId="0" borderId="39" xfId="0" applyNumberFormat="1" applyFont="1" applyBorder="1" applyAlignment="1">
      <alignment horizontal="distributed" vertical="justify" indent="1"/>
    </xf>
    <xf numFmtId="166" fontId="0" fillId="0" borderId="39" xfId="0" applyNumberFormat="1" applyBorder="1" applyAlignment="1">
      <alignment horizontal="distributed" vertical="justify" indent="1"/>
    </xf>
    <xf numFmtId="166" fontId="0" fillId="0" borderId="33" xfId="0" applyNumberFormat="1" applyBorder="1" applyAlignment="1">
      <alignment horizontal="distributed" vertical="justify" indent="1"/>
    </xf>
    <xf numFmtId="0" fontId="18" fillId="0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0" fillId="0" borderId="0" xfId="0" applyBorder="1" applyAlignment="1"/>
    <xf numFmtId="0" fontId="1" fillId="0" borderId="11" xfId="0" applyFont="1" applyBorder="1" applyAlignment="1"/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" fillId="0" borderId="38" xfId="0" applyFont="1" applyFill="1" applyBorder="1" applyAlignment="1"/>
    <xf numFmtId="44" fontId="0" fillId="0" borderId="33" xfId="4" applyFont="1" applyBorder="1" applyAlignment="1">
      <alignment horizontal="center" vertical="center"/>
    </xf>
    <xf numFmtId="0" fontId="19" fillId="0" borderId="0" xfId="0" applyFont="1"/>
    <xf numFmtId="4" fontId="6" fillId="0" borderId="0" xfId="0" applyNumberFormat="1" applyFont="1" applyBorder="1" applyAlignment="1">
      <alignment horizontal="center"/>
    </xf>
    <xf numFmtId="44" fontId="0" fillId="0" borderId="15" xfId="3" applyNumberFormat="1" applyFont="1" applyBorder="1" applyAlignment="1">
      <alignment horizontal="center"/>
    </xf>
    <xf numFmtId="44" fontId="0" fillId="0" borderId="14" xfId="3" applyNumberFormat="1" applyFont="1" applyBorder="1" applyAlignment="1">
      <alignment horizontal="center"/>
    </xf>
    <xf numFmtId="10" fontId="0" fillId="0" borderId="0" xfId="0" applyNumberFormat="1"/>
    <xf numFmtId="10" fontId="14" fillId="0" borderId="15" xfId="3" applyNumberFormat="1" applyFont="1" applyBorder="1" applyAlignment="1">
      <alignment horizontal="center"/>
    </xf>
    <xf numFmtId="0" fontId="14" fillId="3" borderId="20" xfId="0" applyFont="1" applyFill="1" applyBorder="1"/>
    <xf numFmtId="44" fontId="14" fillId="0" borderId="10" xfId="4" applyFont="1" applyFill="1" applyBorder="1"/>
    <xf numFmtId="10" fontId="14" fillId="0" borderId="15" xfId="3" applyNumberFormat="1" applyFont="1" applyFill="1" applyBorder="1" applyAlignment="1">
      <alignment horizontal="center" vertical="center"/>
    </xf>
    <xf numFmtId="169" fontId="14" fillId="0" borderId="15" xfId="3" applyNumberFormat="1" applyFont="1" applyFill="1" applyBorder="1" applyAlignment="1">
      <alignment horizontal="center"/>
    </xf>
    <xf numFmtId="9" fontId="14" fillId="0" borderId="15" xfId="3" applyFont="1" applyFill="1" applyBorder="1" applyAlignment="1">
      <alignment horizontal="center" vertical="center"/>
    </xf>
    <xf numFmtId="0" fontId="14" fillId="0" borderId="15" xfId="0" applyFont="1" applyFill="1" applyBorder="1"/>
    <xf numFmtId="0" fontId="13" fillId="0" borderId="0" xfId="0" applyFont="1" applyBorder="1"/>
    <xf numFmtId="0" fontId="1" fillId="0" borderId="4" xfId="0" applyFont="1" applyBorder="1"/>
    <xf numFmtId="0" fontId="1" fillId="0" borderId="24" xfId="0" applyFont="1" applyBorder="1"/>
    <xf numFmtId="0" fontId="0" fillId="0" borderId="5" xfId="0" applyBorder="1" applyAlignment="1"/>
    <xf numFmtId="0" fontId="16" fillId="0" borderId="12" xfId="1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25" xfId="0" applyBorder="1" applyAlignment="1">
      <alignment horizontal="right"/>
    </xf>
    <xf numFmtId="44" fontId="1" fillId="0" borderId="0" xfId="4" applyFont="1" applyBorder="1" applyAlignment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2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wrapText="1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/>
    <xf numFmtId="0" fontId="20" fillId="2" borderId="59" xfId="0" applyFont="1" applyFill="1" applyBorder="1" applyAlignment="1" applyProtection="1">
      <alignment horizontal="center" vertical="center"/>
    </xf>
    <xf numFmtId="0" fontId="20" fillId="2" borderId="41" xfId="0" applyFont="1" applyFill="1" applyBorder="1" applyAlignment="1" applyProtection="1"/>
    <xf numFmtId="0" fontId="20" fillId="2" borderId="17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horizontal="center" vertical="center"/>
    </xf>
    <xf numFmtId="0" fontId="20" fillId="0" borderId="52" xfId="0" applyFont="1" applyBorder="1" applyAlignment="1" applyProtection="1">
      <alignment vertical="center" wrapText="1"/>
    </xf>
    <xf numFmtId="0" fontId="9" fillId="0" borderId="52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left" vertical="center"/>
    </xf>
    <xf numFmtId="2" fontId="9" fillId="0" borderId="45" xfId="0" applyNumberFormat="1" applyFont="1" applyBorder="1" applyAlignment="1" applyProtection="1">
      <alignment horizontal="center" vertical="center"/>
    </xf>
    <xf numFmtId="2" fontId="20" fillId="5" borderId="47" xfId="0" applyNumberFormat="1" applyFont="1" applyFill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vertical="center" wrapText="1"/>
    </xf>
    <xf numFmtId="0" fontId="9" fillId="0" borderId="45" xfId="0" applyFont="1" applyBorder="1" applyAlignment="1" applyProtection="1">
      <alignment horizontal="center" vertical="center" wrapText="1"/>
    </xf>
    <xf numFmtId="2" fontId="9" fillId="0" borderId="45" xfId="0" applyNumberFormat="1" applyFont="1" applyBorder="1" applyAlignment="1" applyProtection="1">
      <alignment horizontal="center" vertical="center" wrapText="1"/>
    </xf>
    <xf numFmtId="0" fontId="20" fillId="0" borderId="45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vertical="center" wrapText="1"/>
    </xf>
    <xf numFmtId="0" fontId="20" fillId="0" borderId="45" xfId="0" applyFont="1" applyBorder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center" vertical="center"/>
    </xf>
    <xf numFmtId="0" fontId="9" fillId="0" borderId="63" xfId="0" applyFont="1" applyBorder="1" applyAlignment="1" applyProtection="1">
      <alignment horizontal="left" vertical="center"/>
    </xf>
    <xf numFmtId="2" fontId="9" fillId="0" borderId="55" xfId="0" applyNumberFormat="1" applyFont="1" applyBorder="1" applyAlignment="1" applyProtection="1">
      <alignment horizontal="center" vertical="center"/>
    </xf>
    <xf numFmtId="2" fontId="20" fillId="0" borderId="45" xfId="0" applyNumberFormat="1" applyFont="1" applyBorder="1" applyAlignment="1" applyProtection="1">
      <alignment horizontal="center" vertical="center" wrapText="1"/>
    </xf>
    <xf numFmtId="167" fontId="9" fillId="0" borderId="45" xfId="0" applyNumberFormat="1" applyFont="1" applyBorder="1" applyAlignment="1" applyProtection="1">
      <alignment horizontal="center" vertical="center" wrapText="1"/>
    </xf>
    <xf numFmtId="0" fontId="9" fillId="0" borderId="64" xfId="0" applyFont="1" applyBorder="1" applyAlignment="1" applyProtection="1">
      <alignment horizontal="center" vertical="center" wrapText="1"/>
    </xf>
    <xf numFmtId="2" fontId="9" fillId="0" borderId="55" xfId="0" applyNumberFormat="1" applyFont="1" applyBorder="1" applyAlignment="1" applyProtection="1">
      <alignment horizontal="center" vertical="center" wrapText="1"/>
    </xf>
    <xf numFmtId="170" fontId="9" fillId="0" borderId="45" xfId="0" applyNumberFormat="1" applyFont="1" applyBorder="1" applyAlignment="1" applyProtection="1">
      <alignment horizontal="center" vertical="center" wrapText="1"/>
    </xf>
    <xf numFmtId="0" fontId="9" fillId="0" borderId="63" xfId="0" applyFont="1" applyBorder="1" applyAlignment="1" applyProtection="1">
      <alignment vertical="center" wrapText="1"/>
    </xf>
    <xf numFmtId="0" fontId="22" fillId="3" borderId="45" xfId="0" applyFont="1" applyFill="1" applyBorder="1" applyAlignment="1" applyProtection="1">
      <alignment horizontal="center" vertical="center"/>
    </xf>
    <xf numFmtId="0" fontId="22" fillId="3" borderId="45" xfId="0" applyFont="1" applyFill="1" applyBorder="1" applyAlignment="1" applyProtection="1">
      <alignment vertical="center" wrapText="1"/>
    </xf>
    <xf numFmtId="0" fontId="22" fillId="3" borderId="45" xfId="0" applyFont="1" applyFill="1" applyBorder="1" applyAlignment="1" applyProtection="1">
      <alignment horizontal="center" vertical="center" wrapText="1"/>
    </xf>
    <xf numFmtId="0" fontId="23" fillId="3" borderId="45" xfId="0" applyFont="1" applyFill="1" applyBorder="1" applyAlignment="1" applyProtection="1">
      <alignment horizontal="center" vertical="center" wrapText="1"/>
    </xf>
    <xf numFmtId="2" fontId="9" fillId="3" borderId="45" xfId="0" applyNumberFormat="1" applyFont="1" applyFill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left" vertical="center" wrapText="1"/>
    </xf>
    <xf numFmtId="0" fontId="20" fillId="3" borderId="45" xfId="0" applyFont="1" applyFill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vertical="center" wrapText="1"/>
    </xf>
    <xf numFmtId="0" fontId="20" fillId="3" borderId="45" xfId="0" applyFont="1" applyFill="1" applyBorder="1" applyAlignment="1" applyProtection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</xf>
    <xf numFmtId="2" fontId="9" fillId="0" borderId="55" xfId="0" applyNumberFormat="1" applyFont="1" applyBorder="1" applyAlignment="1" applyProtection="1">
      <alignment horizontal="left" vertical="center" wrapText="1"/>
    </xf>
    <xf numFmtId="2" fontId="9" fillId="3" borderId="55" xfId="0" applyNumberFormat="1" applyFont="1" applyFill="1" applyBorder="1" applyAlignment="1" applyProtection="1">
      <alignment horizontal="center" vertical="center" wrapText="1"/>
    </xf>
    <xf numFmtId="2" fontId="20" fillId="3" borderId="55" xfId="0" applyNumberFormat="1" applyFont="1" applyFill="1" applyBorder="1" applyAlignment="1" applyProtection="1">
      <alignment horizontal="center" vertical="center" wrapText="1"/>
    </xf>
    <xf numFmtId="171" fontId="9" fillId="3" borderId="55" xfId="0" applyNumberFormat="1" applyFont="1" applyFill="1" applyBorder="1" applyAlignment="1" applyProtection="1">
      <alignment horizontal="center" vertical="center" wrapText="1"/>
    </xf>
    <xf numFmtId="0" fontId="20" fillId="0" borderId="55" xfId="0" applyFont="1" applyBorder="1" applyAlignment="1" applyProtection="1">
      <alignment horizontal="center" vertical="center"/>
    </xf>
    <xf numFmtId="0" fontId="9" fillId="0" borderId="55" xfId="0" applyFont="1" applyBorder="1" applyAlignment="1" applyProtection="1">
      <alignment vertical="center" wrapText="1"/>
    </xf>
    <xf numFmtId="0" fontId="9" fillId="0" borderId="55" xfId="0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 applyProtection="1">
      <alignment vertical="center" wrapText="1"/>
    </xf>
    <xf numFmtId="2" fontId="9" fillId="0" borderId="55" xfId="0" applyNumberFormat="1" applyFont="1" applyFill="1" applyBorder="1" applyAlignment="1" applyProtection="1">
      <alignment horizontal="center" vertical="center" wrapText="1"/>
    </xf>
    <xf numFmtId="0" fontId="20" fillId="0" borderId="55" xfId="0" applyFont="1" applyFill="1" applyBorder="1" applyAlignment="1" applyProtection="1">
      <alignment horizontal="center" vertical="center"/>
    </xf>
    <xf numFmtId="0" fontId="20" fillId="0" borderId="55" xfId="0" applyFont="1" applyFill="1" applyBorder="1" applyAlignment="1" applyProtection="1">
      <alignment vertical="center" wrapText="1"/>
    </xf>
    <xf numFmtId="2" fontId="20" fillId="0" borderId="55" xfId="0" applyNumberFormat="1" applyFont="1" applyFill="1" applyBorder="1" applyAlignment="1" applyProtection="1">
      <alignment horizontal="center" vertical="center" wrapText="1"/>
    </xf>
    <xf numFmtId="2" fontId="9" fillId="3" borderId="55" xfId="0" applyNumberFormat="1" applyFont="1" applyFill="1" applyBorder="1" applyAlignment="1" applyProtection="1">
      <alignment horizontal="left" vertical="center" wrapText="1"/>
    </xf>
    <xf numFmtId="2" fontId="20" fillId="3" borderId="55" xfId="0" applyNumberFormat="1" applyFont="1" applyFill="1" applyBorder="1" applyAlignment="1" applyProtection="1">
      <alignment horizontal="left" vertical="center" wrapText="1"/>
    </xf>
    <xf numFmtId="0" fontId="20" fillId="0" borderId="55" xfId="0" applyFont="1" applyBorder="1" applyAlignment="1" applyProtection="1">
      <alignment vertical="center" wrapText="1"/>
    </xf>
    <xf numFmtId="2" fontId="9" fillId="0" borderId="62" xfId="0" applyNumberFormat="1" applyFont="1" applyBorder="1" applyAlignment="1" applyProtection="1">
      <alignment horizontal="center" vertical="center" wrapText="1"/>
    </xf>
    <xf numFmtId="2" fontId="20" fillId="0" borderId="63" xfId="0" applyNumberFormat="1" applyFont="1" applyBorder="1" applyAlignment="1" applyProtection="1">
      <alignment horizontal="left" vertical="center" wrapText="1"/>
    </xf>
    <xf numFmtId="0" fontId="20" fillId="5" borderId="25" xfId="0" applyFont="1" applyFill="1" applyBorder="1" applyAlignment="1" applyProtection="1">
      <alignment horizontal="right" vertical="center"/>
    </xf>
    <xf numFmtId="2" fontId="20" fillId="5" borderId="25" xfId="0" applyNumberFormat="1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/>
    <xf numFmtId="0" fontId="9" fillId="0" borderId="0" xfId="0" applyFont="1"/>
    <xf numFmtId="0" fontId="20" fillId="2" borderId="17" xfId="0" applyFont="1" applyFill="1" applyBorder="1" applyAlignment="1" applyProtection="1">
      <alignment horizontal="left" vertical="center"/>
    </xf>
    <xf numFmtId="0" fontId="9" fillId="0" borderId="45" xfId="0" applyFont="1" applyBorder="1" applyAlignment="1">
      <alignment horizontal="center" vertical="center"/>
    </xf>
    <xf numFmtId="0" fontId="9" fillId="0" borderId="45" xfId="0" applyFont="1" applyFill="1" applyBorder="1" applyAlignment="1">
      <alignment vertical="center" wrapText="1"/>
    </xf>
    <xf numFmtId="2" fontId="9" fillId="0" borderId="55" xfId="0" applyNumberFormat="1" applyFont="1" applyFill="1" applyBorder="1" applyAlignment="1">
      <alignment horizontal="center" vertical="center" wrapText="1"/>
    </xf>
    <xf numFmtId="2" fontId="9" fillId="0" borderId="55" xfId="0" applyNumberFormat="1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vertical="center" wrapText="1"/>
    </xf>
    <xf numFmtId="2" fontId="9" fillId="0" borderId="55" xfId="0" applyNumberFormat="1" applyFont="1" applyBorder="1" applyAlignment="1">
      <alignment horizontal="left" vertical="center" wrapText="1"/>
    </xf>
    <xf numFmtId="2" fontId="9" fillId="0" borderId="55" xfId="0" applyNumberFormat="1" applyFont="1" applyBorder="1" applyAlignment="1">
      <alignment horizontal="center" vertical="center" wrapText="1"/>
    </xf>
    <xf numFmtId="2" fontId="9" fillId="3" borderId="55" xfId="0" applyNumberFormat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9" fillId="3" borderId="55" xfId="0" applyFont="1" applyFill="1" applyBorder="1" applyAlignment="1">
      <alignment vertical="center" wrapText="1"/>
    </xf>
    <xf numFmtId="0" fontId="9" fillId="0" borderId="45" xfId="0" applyFont="1" applyBorder="1" applyAlignment="1">
      <alignment horizontal="left" vertical="center" wrapText="1"/>
    </xf>
    <xf numFmtId="0" fontId="20" fillId="0" borderId="62" xfId="0" applyFont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vertical="center" wrapText="1"/>
    </xf>
    <xf numFmtId="2" fontId="20" fillId="0" borderId="55" xfId="0" applyNumberFormat="1" applyFont="1" applyBorder="1" applyAlignment="1" applyProtection="1">
      <alignment horizontal="center" vertical="center" wrapText="1"/>
    </xf>
    <xf numFmtId="0" fontId="9" fillId="0" borderId="63" xfId="0" applyFont="1" applyBorder="1" applyAlignment="1">
      <alignment vertical="center" wrapText="1"/>
    </xf>
    <xf numFmtId="0" fontId="9" fillId="0" borderId="0" xfId="0" applyFont="1" applyAlignment="1" applyProtection="1">
      <alignment horizontal="center" vertical="center"/>
    </xf>
    <xf numFmtId="2" fontId="9" fillId="3" borderId="64" xfId="0" applyNumberFormat="1" applyFont="1" applyFill="1" applyBorder="1" applyAlignment="1" applyProtection="1">
      <alignment horizontal="center" vertical="center" wrapText="1"/>
    </xf>
    <xf numFmtId="2" fontId="20" fillId="2" borderId="17" xfId="0" applyNumberFormat="1" applyFont="1" applyFill="1" applyBorder="1" applyAlignment="1" applyProtection="1">
      <alignment horizontal="center" vertical="center"/>
    </xf>
    <xf numFmtId="0" fontId="20" fillId="0" borderId="0" xfId="0" applyFont="1"/>
    <xf numFmtId="0" fontId="9" fillId="0" borderId="45" xfId="0" applyFont="1" applyFill="1" applyBorder="1" applyAlignment="1" applyProtection="1">
      <alignment vertical="center" wrapText="1"/>
    </xf>
    <xf numFmtId="0" fontId="9" fillId="0" borderId="55" xfId="0" applyFont="1" applyBorder="1" applyAlignment="1" applyProtection="1">
      <alignment horizontal="center" vertical="center" wrapText="1"/>
    </xf>
    <xf numFmtId="2" fontId="20" fillId="5" borderId="4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167" fontId="9" fillId="0" borderId="55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5" fillId="0" borderId="68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5" fillId="0" borderId="48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4" fillId="3" borderId="0" xfId="0" applyFont="1" applyFill="1" applyBorder="1" applyAlignment="1" applyProtection="1">
      <alignment horizontal="left" vertical="center"/>
    </xf>
    <xf numFmtId="44" fontId="24" fillId="0" borderId="0" xfId="4" applyNumberFormat="1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168" fontId="24" fillId="3" borderId="0" xfId="0" applyNumberFormat="1" applyFont="1" applyFill="1" applyBorder="1" applyAlignment="1" applyProtection="1">
      <alignment horizontal="left" vertical="center"/>
    </xf>
    <xf numFmtId="0" fontId="24" fillId="0" borderId="24" xfId="0" applyFont="1" applyBorder="1" applyAlignment="1" applyProtection="1">
      <alignment horizontal="center" vertical="center"/>
    </xf>
    <xf numFmtId="0" fontId="25" fillId="0" borderId="69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left" vertical="center"/>
    </xf>
    <xf numFmtId="10" fontId="24" fillId="0" borderId="25" xfId="0" applyNumberFormat="1" applyFont="1" applyBorder="1" applyAlignment="1" applyProtection="1">
      <alignment horizontal="left" vertical="center"/>
    </xf>
    <xf numFmtId="0" fontId="24" fillId="0" borderId="25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left" vertical="center"/>
    </xf>
    <xf numFmtId="0" fontId="25" fillId="0" borderId="25" xfId="0" applyFont="1" applyBorder="1" applyAlignment="1" applyProtection="1">
      <alignment vertical="center"/>
    </xf>
    <xf numFmtId="0" fontId="25" fillId="0" borderId="26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/>
    </xf>
    <xf numFmtId="10" fontId="24" fillId="0" borderId="17" xfId="0" applyNumberFormat="1" applyFont="1" applyBorder="1" applyAlignment="1" applyProtection="1">
      <alignment horizontal="left" vertical="center"/>
    </xf>
    <xf numFmtId="0" fontId="24" fillId="0" borderId="17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vertical="center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left" vertical="center" wrapText="1"/>
    </xf>
    <xf numFmtId="2" fontId="25" fillId="2" borderId="6" xfId="0" applyNumberFormat="1" applyFont="1" applyFill="1" applyBorder="1" applyAlignment="1" applyProtection="1">
      <alignment horizontal="center" vertical="center"/>
    </xf>
    <xf numFmtId="44" fontId="25" fillId="2" borderId="6" xfId="4" applyNumberFormat="1" applyFont="1" applyFill="1" applyBorder="1" applyAlignment="1" applyProtection="1">
      <alignment horizontal="center" vertical="center"/>
    </xf>
    <xf numFmtId="0" fontId="25" fillId="5" borderId="53" xfId="0" applyFont="1" applyFill="1" applyBorder="1" applyAlignment="1" applyProtection="1">
      <alignment horizontal="center" vertical="center"/>
    </xf>
    <xf numFmtId="0" fontId="25" fillId="5" borderId="50" xfId="0" applyFont="1" applyFill="1" applyBorder="1" applyAlignment="1" applyProtection="1">
      <alignment horizontal="center" vertical="center"/>
    </xf>
    <xf numFmtId="0" fontId="24" fillId="0" borderId="51" xfId="0" applyFont="1" applyFill="1" applyBorder="1" applyAlignment="1" applyProtection="1">
      <alignment horizontal="center" vertical="center"/>
    </xf>
    <xf numFmtId="0" fontId="24" fillId="0" borderId="52" xfId="0" applyFont="1" applyFill="1" applyBorder="1" applyAlignment="1" applyProtection="1">
      <alignment horizontal="center" vertical="center"/>
    </xf>
    <xf numFmtId="0" fontId="24" fillId="0" borderId="52" xfId="0" applyFont="1" applyFill="1" applyBorder="1" applyAlignment="1" applyProtection="1">
      <alignment horizontal="left" vertical="center" wrapText="1"/>
    </xf>
    <xf numFmtId="2" fontId="24" fillId="0" borderId="45" xfId="0" applyNumberFormat="1" applyFont="1" applyBorder="1" applyAlignment="1" applyProtection="1">
      <alignment horizontal="center" vertical="center"/>
    </xf>
    <xf numFmtId="44" fontId="24" fillId="0" borderId="45" xfId="4" applyFont="1" applyBorder="1" applyAlignment="1" applyProtection="1">
      <alignment horizontal="center" vertical="center"/>
      <protection locked="0"/>
    </xf>
    <xf numFmtId="44" fontId="24" fillId="0" borderId="46" xfId="4" applyFont="1" applyBorder="1" applyAlignment="1" applyProtection="1">
      <alignment horizontal="center" vertical="center"/>
    </xf>
    <xf numFmtId="0" fontId="24" fillId="0" borderId="52" xfId="0" applyFont="1" applyFill="1" applyBorder="1" applyAlignment="1" applyProtection="1">
      <alignment horizontal="left" vertical="center"/>
    </xf>
    <xf numFmtId="0" fontId="24" fillId="0" borderId="45" xfId="0" applyFont="1" applyBorder="1" applyAlignment="1" applyProtection="1">
      <alignment horizontal="center" vertical="center"/>
    </xf>
    <xf numFmtId="0" fontId="24" fillId="0" borderId="45" xfId="0" applyFont="1" applyBorder="1" applyAlignment="1" applyProtection="1">
      <alignment horizontal="left" vertical="center" wrapText="1"/>
    </xf>
    <xf numFmtId="2" fontId="24" fillId="0" borderId="0" xfId="0" applyNumberFormat="1" applyFont="1" applyAlignment="1" applyProtection="1">
      <alignment horizontal="center" vertic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2" fontId="24" fillId="0" borderId="0" xfId="0" applyNumberFormat="1" applyFont="1" applyBorder="1" applyAlignment="1" applyProtection="1">
      <alignment horizontal="center" vertical="center"/>
    </xf>
    <xf numFmtId="44" fontId="25" fillId="4" borderId="36" xfId="0" applyNumberFormat="1" applyFont="1" applyFill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horizontal="left" vertical="center"/>
    </xf>
    <xf numFmtId="44" fontId="25" fillId="2" borderId="32" xfId="4" applyNumberFormat="1" applyFont="1" applyFill="1" applyBorder="1" applyAlignment="1" applyProtection="1">
      <alignment horizontal="center" vertical="center"/>
    </xf>
    <xf numFmtId="44" fontId="25" fillId="4" borderId="18" xfId="0" applyNumberFormat="1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left" vertical="center"/>
    </xf>
    <xf numFmtId="0" fontId="24" fillId="0" borderId="44" xfId="0" applyFont="1" applyFill="1" applyBorder="1" applyAlignment="1" applyProtection="1">
      <alignment horizontal="center" vertical="center"/>
    </xf>
    <xf numFmtId="44" fontId="24" fillId="0" borderId="45" xfId="4" applyNumberFormat="1" applyFont="1" applyBorder="1" applyAlignment="1" applyProtection="1">
      <alignment horizontal="center" vertical="center"/>
      <protection locked="0"/>
    </xf>
    <xf numFmtId="44" fontId="24" fillId="0" borderId="46" xfId="4" applyNumberFormat="1" applyFont="1" applyBorder="1" applyAlignment="1" applyProtection="1">
      <alignment horizontal="center" vertical="center"/>
    </xf>
    <xf numFmtId="0" fontId="24" fillId="0" borderId="44" xfId="0" applyFont="1" applyBorder="1" applyAlignment="1" applyProtection="1">
      <alignment horizontal="center" vertical="center"/>
    </xf>
    <xf numFmtId="2" fontId="24" fillId="0" borderId="45" xfId="0" quotePrefix="1" applyNumberFormat="1" applyFont="1" applyBorder="1" applyAlignment="1" applyProtection="1">
      <alignment horizontal="center" vertical="center"/>
    </xf>
    <xf numFmtId="0" fontId="24" fillId="0" borderId="55" xfId="0" applyFont="1" applyBorder="1" applyAlignment="1" applyProtection="1">
      <alignment horizontal="center" vertical="center"/>
    </xf>
    <xf numFmtId="0" fontId="24" fillId="0" borderId="55" xfId="0" applyFont="1" applyBorder="1" applyAlignment="1" applyProtection="1">
      <alignment horizontal="left" vertical="center" wrapText="1"/>
    </xf>
    <xf numFmtId="2" fontId="24" fillId="0" borderId="55" xfId="0" applyNumberFormat="1" applyFont="1" applyBorder="1" applyAlignment="1" applyProtection="1">
      <alignment horizontal="center" vertical="center"/>
    </xf>
    <xf numFmtId="44" fontId="24" fillId="0" borderId="55" xfId="4" applyNumberFormat="1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 applyProtection="1">
      <alignment horizontal="center" vertical="center"/>
    </xf>
    <xf numFmtId="0" fontId="26" fillId="0" borderId="45" xfId="0" applyFont="1" applyBorder="1" applyAlignment="1" applyProtection="1">
      <alignment horizontal="center" vertical="center"/>
    </xf>
    <xf numFmtId="0" fontId="26" fillId="0" borderId="45" xfId="0" applyFont="1" applyBorder="1" applyAlignment="1" applyProtection="1">
      <alignment horizontal="left" vertical="center" wrapText="1"/>
    </xf>
    <xf numFmtId="2" fontId="26" fillId="0" borderId="45" xfId="0" applyNumberFormat="1" applyFont="1" applyBorder="1" applyAlignment="1" applyProtection="1">
      <alignment horizontal="center" vertical="center"/>
    </xf>
    <xf numFmtId="44" fontId="26" fillId="0" borderId="45" xfId="4" applyNumberFormat="1" applyFont="1" applyBorder="1" applyAlignment="1" applyProtection="1">
      <alignment horizontal="center" vertical="center"/>
      <protection locked="0"/>
    </xf>
    <xf numFmtId="44" fontId="26" fillId="0" borderId="46" xfId="4" applyNumberFormat="1" applyFont="1" applyBorder="1" applyAlignment="1" applyProtection="1">
      <alignment horizontal="center" vertical="center"/>
    </xf>
    <xf numFmtId="2" fontId="24" fillId="3" borderId="45" xfId="0" applyNumberFormat="1" applyFont="1" applyFill="1" applyBorder="1" applyAlignment="1" applyProtection="1">
      <alignment horizontal="center" vertical="center"/>
    </xf>
    <xf numFmtId="0" fontId="24" fillId="0" borderId="58" xfId="0" applyFont="1" applyBorder="1" applyAlignment="1" applyProtection="1">
      <alignment horizontal="center" vertical="center"/>
    </xf>
    <xf numFmtId="0" fontId="24" fillId="0" borderId="58" xfId="0" applyFont="1" applyBorder="1" applyAlignment="1" applyProtection="1">
      <alignment horizontal="left" vertical="center" wrapText="1"/>
    </xf>
    <xf numFmtId="2" fontId="24" fillId="0" borderId="58" xfId="0" applyNumberFormat="1" applyFont="1" applyBorder="1" applyAlignment="1" applyProtection="1">
      <alignment horizontal="center" vertical="center"/>
    </xf>
    <xf numFmtId="44" fontId="24" fillId="0" borderId="58" xfId="4" applyNumberFormat="1" applyFont="1" applyBorder="1" applyAlignment="1" applyProtection="1">
      <alignment horizontal="center" vertical="center"/>
      <protection locked="0"/>
    </xf>
    <xf numFmtId="44" fontId="24" fillId="0" borderId="45" xfId="4" applyNumberFormat="1" applyFont="1" applyBorder="1" applyAlignment="1" applyProtection="1">
      <alignment horizontal="centerContinuous" vertical="center"/>
      <protection locked="0"/>
    </xf>
    <xf numFmtId="2" fontId="24" fillId="0" borderId="45" xfId="0" applyNumberFormat="1" applyFont="1" applyBorder="1" applyAlignment="1" applyProtection="1">
      <alignment horizontal="left" vertical="center" wrapText="1"/>
    </xf>
    <xf numFmtId="44" fontId="26" fillId="0" borderId="45" xfId="4" applyNumberFormat="1" applyFont="1" applyBorder="1" applyAlignment="1" applyProtection="1">
      <alignment horizontal="centerContinuous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left" vertical="center" wrapText="1"/>
    </xf>
    <xf numFmtId="2" fontId="24" fillId="0" borderId="45" xfId="0" applyNumberFormat="1" applyFont="1" applyFill="1" applyBorder="1" applyAlignment="1">
      <alignment horizontal="center" vertical="center"/>
    </xf>
    <xf numFmtId="44" fontId="24" fillId="0" borderId="45" xfId="4" applyFont="1" applyFill="1" applyBorder="1" applyAlignment="1" applyProtection="1">
      <alignment horizontal="center" vertical="center"/>
      <protection locked="0"/>
    </xf>
    <xf numFmtId="44" fontId="24" fillId="0" borderId="46" xfId="4" applyFont="1" applyFill="1" applyBorder="1" applyAlignment="1" applyProtection="1">
      <alignment horizontal="center" vertical="center"/>
    </xf>
    <xf numFmtId="0" fontId="26" fillId="0" borderId="45" xfId="1" applyFont="1" applyFill="1" applyBorder="1" applyAlignment="1">
      <alignment horizontal="center" vertical="center" wrapText="1"/>
    </xf>
    <xf numFmtId="2" fontId="26" fillId="0" borderId="45" xfId="1" applyNumberFormat="1" applyFont="1" applyFill="1" applyBorder="1" applyAlignment="1">
      <alignment horizontal="center" vertical="center"/>
    </xf>
    <xf numFmtId="44" fontId="26" fillId="0" borderId="45" xfId="4" applyFont="1" applyFill="1" applyBorder="1" applyAlignment="1" applyProtection="1">
      <alignment horizontal="center" vertical="center"/>
      <protection locked="0"/>
    </xf>
    <xf numFmtId="44" fontId="26" fillId="0" borderId="45" xfId="4" applyFont="1" applyFill="1" applyBorder="1" applyAlignment="1" applyProtection="1">
      <alignment horizontal="center" vertical="center" wrapText="1"/>
      <protection locked="0"/>
    </xf>
    <xf numFmtId="0" fontId="26" fillId="0" borderId="45" xfId="1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left" vertical="center" wrapText="1"/>
    </xf>
    <xf numFmtId="2" fontId="26" fillId="0" borderId="45" xfId="0" applyNumberFormat="1" applyFont="1" applyFill="1" applyBorder="1" applyAlignment="1">
      <alignment horizontal="center" vertical="center"/>
    </xf>
    <xf numFmtId="44" fontId="26" fillId="0" borderId="46" xfId="4" applyFont="1" applyFill="1" applyBorder="1" applyAlignment="1" applyProtection="1">
      <alignment horizontal="center" vertical="center"/>
    </xf>
    <xf numFmtId="44" fontId="26" fillId="0" borderId="45" xfId="4" applyFont="1" applyFill="1" applyBorder="1" applyAlignment="1" applyProtection="1">
      <alignment vertical="center"/>
      <protection locked="0"/>
    </xf>
    <xf numFmtId="44" fontId="26" fillId="0" borderId="45" xfId="4" applyFont="1" applyFill="1" applyBorder="1" applyAlignment="1" applyProtection="1">
      <alignment horizontal="centerContinuous" vertical="center"/>
      <protection locked="0"/>
    </xf>
    <xf numFmtId="44" fontId="26" fillId="0" borderId="45" xfId="4" applyFont="1" applyFill="1" applyBorder="1" applyAlignment="1" applyProtection="1">
      <alignment horizontal="centerContinuous" vertical="center" wrapText="1"/>
      <protection locked="0"/>
    </xf>
    <xf numFmtId="0" fontId="25" fillId="2" borderId="16" xfId="0" applyFont="1" applyFill="1" applyBorder="1" applyAlignment="1" applyProtection="1">
      <alignment horizontal="left" vertical="center"/>
    </xf>
    <xf numFmtId="0" fontId="25" fillId="2" borderId="17" xfId="0" applyFont="1" applyFill="1" applyBorder="1" applyAlignment="1" applyProtection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</xf>
    <xf numFmtId="0" fontId="25" fillId="2" borderId="18" xfId="0" applyFont="1" applyFill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left" vertical="center"/>
    </xf>
    <xf numFmtId="0" fontId="25" fillId="0" borderId="22" xfId="0" applyFont="1" applyBorder="1" applyAlignment="1" applyProtection="1">
      <alignment horizontal="center" vertical="center"/>
    </xf>
    <xf numFmtId="0" fontId="25" fillId="0" borderId="22" xfId="0" applyFont="1" applyBorder="1" applyAlignment="1" applyProtection="1">
      <alignment horizontal="left" vertical="center"/>
    </xf>
    <xf numFmtId="0" fontId="25" fillId="0" borderId="23" xfId="0" applyFont="1" applyBorder="1" applyAlignment="1" applyProtection="1">
      <alignment horizontal="center" vertical="center"/>
    </xf>
    <xf numFmtId="44" fontId="24" fillId="0" borderId="67" xfId="4" applyNumberFormat="1" applyFont="1" applyBorder="1" applyAlignment="1" applyProtection="1">
      <alignment horizontal="center" vertical="center"/>
    </xf>
    <xf numFmtId="44" fontId="24" fillId="0" borderId="55" xfId="4" applyNumberFormat="1" applyFont="1" applyBorder="1" applyAlignment="1" applyProtection="1">
      <alignment horizontal="centerContinuous" vertical="center"/>
      <protection locked="0"/>
    </xf>
    <xf numFmtId="0" fontId="24" fillId="0" borderId="45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  <xf numFmtId="44" fontId="24" fillId="0" borderId="52" xfId="4" applyFont="1" applyBorder="1" applyAlignment="1" applyProtection="1">
      <alignment horizontal="center" vertical="center"/>
      <protection locked="0"/>
    </xf>
    <xf numFmtId="44" fontId="24" fillId="0" borderId="70" xfId="4" applyFont="1" applyBorder="1" applyAlignment="1" applyProtection="1">
      <alignment horizontal="center" vertical="center"/>
      <protection locked="0"/>
    </xf>
    <xf numFmtId="0" fontId="24" fillId="0" borderId="45" xfId="0" applyFont="1" applyFill="1" applyBorder="1" applyAlignment="1" applyProtection="1">
      <alignment horizontal="center" vertical="center"/>
    </xf>
    <xf numFmtId="0" fontId="24" fillId="0" borderId="45" xfId="0" applyFont="1" applyFill="1" applyBorder="1" applyAlignment="1" applyProtection="1">
      <alignment horizontal="left" vertical="center" wrapText="1"/>
    </xf>
    <xf numFmtId="0" fontId="24" fillId="0" borderId="57" xfId="0" applyFont="1" applyBorder="1" applyAlignment="1" applyProtection="1">
      <alignment horizontal="center" vertical="center"/>
    </xf>
    <xf numFmtId="0" fontId="24" fillId="0" borderId="55" xfId="0" applyFont="1" applyFill="1" applyBorder="1" applyAlignment="1" applyProtection="1">
      <alignment horizontal="center" vertical="center"/>
    </xf>
    <xf numFmtId="0" fontId="24" fillId="0" borderId="55" xfId="0" applyFont="1" applyFill="1" applyBorder="1" applyAlignment="1" applyProtection="1">
      <alignment horizontal="left" vertical="center" wrapText="1"/>
    </xf>
    <xf numFmtId="44" fontId="24" fillId="0" borderId="56" xfId="4" applyNumberFormat="1" applyFont="1" applyBorder="1" applyAlignment="1" applyProtection="1">
      <alignment horizontal="center" vertical="center"/>
    </xf>
    <xf numFmtId="0" fontId="24" fillId="3" borderId="45" xfId="0" applyFont="1" applyFill="1" applyBorder="1" applyAlignment="1" applyProtection="1">
      <alignment horizontal="left" vertical="center" wrapText="1"/>
    </xf>
    <xf numFmtId="2" fontId="24" fillId="0" borderId="45" xfId="0" applyNumberFormat="1" applyFont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wrapText="1"/>
    </xf>
    <xf numFmtId="4" fontId="24" fillId="0" borderId="2" xfId="0" applyNumberFormat="1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/>
    </xf>
    <xf numFmtId="166" fontId="24" fillId="0" borderId="2" xfId="0" applyNumberFormat="1" applyFont="1" applyBorder="1"/>
    <xf numFmtId="10" fontId="24" fillId="0" borderId="2" xfId="3" applyNumberFormat="1" applyFont="1" applyBorder="1" applyAlignment="1">
      <alignment horizontal="center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/>
    </xf>
    <xf numFmtId="166" fontId="24" fillId="0" borderId="0" xfId="0" applyNumberFormat="1" applyFont="1" applyBorder="1"/>
    <xf numFmtId="10" fontId="24" fillId="0" borderId="5" xfId="3" applyNumberFormat="1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/>
    <xf numFmtId="10" fontId="25" fillId="0" borderId="5" xfId="3" applyNumberFormat="1" applyFont="1" applyBorder="1" applyAlignment="1">
      <alignment horizontal="center"/>
    </xf>
    <xf numFmtId="0" fontId="24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wrapText="1"/>
    </xf>
    <xf numFmtId="4" fontId="24" fillId="0" borderId="25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/>
    </xf>
    <xf numFmtId="0" fontId="25" fillId="0" borderId="25" xfId="0" applyFont="1" applyBorder="1" applyAlignment="1"/>
    <xf numFmtId="10" fontId="25" fillId="0" borderId="26" xfId="3" applyNumberFormat="1" applyFont="1" applyBorder="1" applyAlignment="1">
      <alignment horizontal="center"/>
    </xf>
    <xf numFmtId="168" fontId="9" fillId="0" borderId="25" xfId="0" applyNumberFormat="1" applyFont="1" applyBorder="1" applyAlignment="1" applyProtection="1"/>
    <xf numFmtId="0" fontId="9" fillId="0" borderId="0" xfId="0" applyFont="1" applyBorder="1" applyAlignment="1" applyProtection="1">
      <alignment vertical="center" wrapText="1"/>
    </xf>
    <xf numFmtId="0" fontId="17" fillId="0" borderId="50" xfId="10" applyFont="1" applyBorder="1" applyAlignment="1">
      <alignment horizontal="center" vertical="center"/>
    </xf>
    <xf numFmtId="49" fontId="17" fillId="0" borderId="50" xfId="10" applyNumberFormat="1" applyFont="1" applyBorder="1" applyAlignment="1">
      <alignment horizontal="center"/>
    </xf>
    <xf numFmtId="0" fontId="17" fillId="0" borderId="50" xfId="10" applyFont="1" applyBorder="1" applyAlignment="1">
      <alignment wrapText="1"/>
    </xf>
    <xf numFmtId="0" fontId="17" fillId="0" borderId="50" xfId="10" applyFont="1" applyBorder="1" applyAlignment="1">
      <alignment horizontal="center"/>
    </xf>
    <xf numFmtId="2" fontId="17" fillId="0" borderId="50" xfId="10" applyNumberFormat="1" applyFont="1" applyBorder="1" applyAlignment="1">
      <alignment horizontal="center"/>
    </xf>
    <xf numFmtId="164" fontId="17" fillId="0" borderId="50" xfId="11" applyFont="1" applyBorder="1"/>
    <xf numFmtId="164" fontId="17" fillId="0" borderId="50" xfId="4" applyNumberFormat="1" applyFont="1" applyBorder="1"/>
    <xf numFmtId="0" fontId="17" fillId="0" borderId="45" xfId="10" applyFont="1" applyBorder="1" applyAlignment="1">
      <alignment horizontal="center" vertical="center"/>
    </xf>
    <xf numFmtId="49" fontId="17" fillId="0" borderId="45" xfId="10" applyNumberFormat="1" applyFont="1" applyBorder="1" applyAlignment="1">
      <alignment horizontal="center"/>
    </xf>
    <xf numFmtId="0" fontId="17" fillId="0" borderId="45" xfId="10" applyFont="1" applyBorder="1" applyAlignment="1">
      <alignment wrapText="1"/>
    </xf>
    <xf numFmtId="0" fontId="17" fillId="0" borderId="45" xfId="10" applyFont="1" applyBorder="1" applyAlignment="1">
      <alignment horizontal="center"/>
    </xf>
    <xf numFmtId="2" fontId="17" fillId="0" borderId="45" xfId="10" applyNumberFormat="1" applyFont="1" applyBorder="1" applyAlignment="1">
      <alignment horizontal="center"/>
    </xf>
    <xf numFmtId="164" fontId="17" fillId="0" borderId="45" xfId="11" applyFont="1" applyBorder="1"/>
    <xf numFmtId="164" fontId="17" fillId="0" borderId="45" xfId="4" applyNumberFormat="1" applyFont="1" applyBorder="1"/>
    <xf numFmtId="49" fontId="17" fillId="0" borderId="45" xfId="10" applyNumberFormat="1" applyFont="1" applyBorder="1" applyAlignment="1">
      <alignment horizontal="center" vertical="center"/>
    </xf>
    <xf numFmtId="0" fontId="17" fillId="0" borderId="45" xfId="10" applyFont="1" applyBorder="1" applyAlignment="1">
      <alignment vertical="center" wrapText="1"/>
    </xf>
    <xf numFmtId="2" fontId="17" fillId="0" borderId="45" xfId="10" applyNumberFormat="1" applyFont="1" applyBorder="1" applyAlignment="1">
      <alignment horizontal="center" vertical="center"/>
    </xf>
    <xf numFmtId="164" fontId="17" fillId="0" borderId="45" xfId="11" applyFont="1" applyBorder="1" applyAlignment="1">
      <alignment vertical="center"/>
    </xf>
    <xf numFmtId="164" fontId="17" fillId="0" borderId="45" xfId="4" applyNumberFormat="1" applyFont="1" applyBorder="1" applyAlignment="1">
      <alignment vertical="center"/>
    </xf>
    <xf numFmtId="0" fontId="17" fillId="0" borderId="47" xfId="10" applyFont="1" applyBorder="1" applyAlignment="1">
      <alignment horizontal="center" vertical="center" wrapText="1"/>
    </xf>
    <xf numFmtId="49" fontId="17" fillId="0" borderId="47" xfId="10" applyNumberFormat="1" applyFont="1" applyBorder="1" applyAlignment="1">
      <alignment horizontal="center" vertical="center" wrapText="1"/>
    </xf>
    <xf numFmtId="0" fontId="17" fillId="0" borderId="47" xfId="10" applyFont="1" applyBorder="1" applyAlignment="1">
      <alignment vertical="center" wrapText="1"/>
    </xf>
    <xf numFmtId="2" fontId="17" fillId="0" borderId="47" xfId="10" applyNumberFormat="1" applyFont="1" applyBorder="1" applyAlignment="1">
      <alignment horizontal="center" vertical="center" wrapText="1"/>
    </xf>
    <xf numFmtId="164" fontId="17" fillId="0" borderId="47" xfId="11" applyFont="1" applyBorder="1" applyAlignment="1">
      <alignment vertical="center" wrapText="1"/>
    </xf>
    <xf numFmtId="164" fontId="17" fillId="0" borderId="47" xfId="4" applyNumberFormat="1" applyFont="1" applyBorder="1" applyAlignment="1">
      <alignment vertical="center" wrapText="1"/>
    </xf>
    <xf numFmtId="0" fontId="17" fillId="0" borderId="77" xfId="10" applyFont="1" applyBorder="1" applyAlignment="1">
      <alignment horizontal="center" vertical="center"/>
    </xf>
    <xf numFmtId="49" fontId="17" fillId="0" borderId="77" xfId="10" applyNumberFormat="1" applyFont="1" applyBorder="1" applyAlignment="1">
      <alignment horizontal="center"/>
    </xf>
    <xf numFmtId="0" fontId="17" fillId="0" borderId="77" xfId="10" applyFont="1" applyBorder="1" applyAlignment="1">
      <alignment wrapText="1"/>
    </xf>
    <xf numFmtId="0" fontId="17" fillId="0" borderId="77" xfId="10" applyFont="1" applyBorder="1" applyAlignment="1">
      <alignment horizontal="center"/>
    </xf>
    <xf numFmtId="2" fontId="17" fillId="0" borderId="77" xfId="10" applyNumberFormat="1" applyFont="1" applyBorder="1" applyAlignment="1">
      <alignment horizontal="center"/>
    </xf>
    <xf numFmtId="164" fontId="17" fillId="0" borderId="77" xfId="11" applyFont="1" applyBorder="1"/>
    <xf numFmtId="167" fontId="17" fillId="0" borderId="45" xfId="10" applyNumberFormat="1" applyFont="1" applyBorder="1" applyAlignment="1">
      <alignment horizontal="center"/>
    </xf>
    <xf numFmtId="0" fontId="17" fillId="0" borderId="47" xfId="10" applyFont="1" applyBorder="1" applyAlignment="1">
      <alignment horizontal="center" vertical="center"/>
    </xf>
    <xf numFmtId="49" fontId="17" fillId="0" borderId="47" xfId="10" applyNumberFormat="1" applyFont="1" applyBorder="1" applyAlignment="1">
      <alignment horizontal="center"/>
    </xf>
    <xf numFmtId="0" fontId="17" fillId="0" borderId="47" xfId="10" applyFont="1" applyBorder="1" applyAlignment="1">
      <alignment wrapText="1"/>
    </xf>
    <xf numFmtId="0" fontId="17" fillId="0" borderId="47" xfId="10" applyFont="1" applyBorder="1" applyAlignment="1">
      <alignment horizontal="center"/>
    </xf>
    <xf numFmtId="167" fontId="17" fillId="0" borderId="47" xfId="10" applyNumberFormat="1" applyFont="1" applyBorder="1" applyAlignment="1">
      <alignment horizontal="center"/>
    </xf>
    <xf numFmtId="164" fontId="17" fillId="0" borderId="47" xfId="11" applyFont="1" applyBorder="1" applyAlignment="1"/>
    <xf numFmtId="164" fontId="17" fillId="0" borderId="47" xfId="11" applyFont="1" applyBorder="1"/>
    <xf numFmtId="0" fontId="16" fillId="7" borderId="12" xfId="10" applyFont="1" applyFill="1" applyBorder="1" applyAlignment="1">
      <alignment horizontal="center" vertical="center"/>
    </xf>
    <xf numFmtId="0" fontId="16" fillId="7" borderId="12" xfId="10" applyFont="1" applyFill="1" applyBorder="1" applyAlignment="1">
      <alignment horizontal="center" vertical="center" wrapText="1"/>
    </xf>
    <xf numFmtId="0" fontId="16" fillId="7" borderId="85" xfId="10" applyFont="1" applyFill="1" applyBorder="1" applyAlignment="1">
      <alignment horizontal="center" vertical="center"/>
    </xf>
    <xf numFmtId="0" fontId="16" fillId="7" borderId="86" xfId="10" applyFont="1" applyFill="1" applyBorder="1" applyAlignment="1">
      <alignment horizontal="center" vertical="center"/>
    </xf>
    <xf numFmtId="0" fontId="0" fillId="0" borderId="50" xfId="0" applyBorder="1" applyAlignment="1">
      <alignment horizontal="center"/>
    </xf>
    <xf numFmtId="164" fontId="17" fillId="0" borderId="50" xfId="10" applyNumberFormat="1" applyFont="1" applyBorder="1"/>
    <xf numFmtId="0" fontId="0" fillId="0" borderId="47" xfId="0" applyBorder="1" applyAlignment="1">
      <alignment horizontal="center"/>
    </xf>
    <xf numFmtId="164" fontId="17" fillId="0" borderId="47" xfId="10" applyNumberFormat="1" applyFont="1" applyBorder="1"/>
    <xf numFmtId="164" fontId="17" fillId="6" borderId="89" xfId="10" applyNumberFormat="1" applyFont="1" applyFill="1" applyBorder="1"/>
    <xf numFmtId="0" fontId="0" fillId="0" borderId="45" xfId="0" applyBorder="1" applyAlignment="1">
      <alignment horizontal="center"/>
    </xf>
    <xf numFmtId="164" fontId="17" fillId="0" borderId="45" xfId="10" applyNumberFormat="1" applyFont="1" applyBorder="1"/>
    <xf numFmtId="164" fontId="16" fillId="0" borderId="86" xfId="10" applyNumberFormat="1" applyFont="1" applyBorder="1"/>
    <xf numFmtId="0" fontId="16" fillId="0" borderId="85" xfId="10" applyFont="1" applyBorder="1" applyAlignment="1">
      <alignment horizontal="center" vertical="center"/>
    </xf>
    <xf numFmtId="0" fontId="16" fillId="0" borderId="86" xfId="10" applyFont="1" applyBorder="1" applyAlignment="1">
      <alignment horizontal="center" vertical="center"/>
    </xf>
    <xf numFmtId="0" fontId="0" fillId="0" borderId="77" xfId="0" applyBorder="1" applyAlignment="1">
      <alignment horizontal="center"/>
    </xf>
    <xf numFmtId="164" fontId="17" fillId="0" borderId="77" xfId="10" applyNumberFormat="1" applyFont="1" applyBorder="1"/>
    <xf numFmtId="164" fontId="17" fillId="0" borderId="45" xfId="10" applyNumberFormat="1" applyFont="1" applyBorder="1" applyAlignment="1">
      <alignment vertical="center"/>
    </xf>
    <xf numFmtId="164" fontId="17" fillId="0" borderId="47" xfId="10" applyNumberFormat="1" applyFont="1" applyBorder="1" applyAlignment="1">
      <alignment vertical="center" wrapText="1"/>
    </xf>
    <xf numFmtId="164" fontId="16" fillId="0" borderId="93" xfId="10" applyNumberFormat="1" applyFont="1" applyBorder="1"/>
    <xf numFmtId="0" fontId="0" fillId="0" borderId="81" xfId="0" applyBorder="1" applyAlignment="1">
      <alignment horizontal="center"/>
    </xf>
    <xf numFmtId="0" fontId="0" fillId="0" borderId="94" xfId="0" applyBorder="1" applyAlignment="1"/>
    <xf numFmtId="0" fontId="0" fillId="0" borderId="42" xfId="0" applyBorder="1" applyAlignment="1"/>
    <xf numFmtId="0" fontId="1" fillId="0" borderId="42" xfId="0" applyFont="1" applyBorder="1" applyAlignment="1"/>
    <xf numFmtId="0" fontId="1" fillId="0" borderId="42" xfId="0" applyFont="1" applyBorder="1" applyAlignment="1">
      <alignment vertical="center"/>
    </xf>
    <xf numFmtId="0" fontId="1" fillId="0" borderId="95" xfId="0" applyFont="1" applyBorder="1" applyAlignment="1"/>
    <xf numFmtId="166" fontId="27" fillId="0" borderId="0" xfId="0" applyNumberFormat="1" applyFont="1" applyProtection="1"/>
    <xf numFmtId="0" fontId="27" fillId="0" borderId="0" xfId="0" applyFont="1" applyProtection="1"/>
    <xf numFmtId="0" fontId="27" fillId="0" borderId="0" xfId="0" applyFont="1"/>
    <xf numFmtId="44" fontId="27" fillId="0" borderId="0" xfId="0" applyNumberFormat="1" applyFont="1" applyProtection="1"/>
    <xf numFmtId="166" fontId="27" fillId="0" borderId="0" xfId="0" applyNumberFormat="1" applyFont="1"/>
    <xf numFmtId="166" fontId="27" fillId="0" borderId="0" xfId="0" applyNumberFormat="1" applyFont="1" applyFill="1"/>
    <xf numFmtId="0" fontId="27" fillId="0" borderId="0" xfId="0" applyFont="1" applyFill="1"/>
    <xf numFmtId="0" fontId="27" fillId="0" borderId="0" xfId="0" applyFont="1" applyFill="1" applyProtection="1"/>
    <xf numFmtId="173" fontId="27" fillId="0" borderId="0" xfId="3" applyNumberFormat="1" applyFont="1" applyProtection="1"/>
    <xf numFmtId="10" fontId="27" fillId="0" borderId="0" xfId="3" applyNumberFormat="1" applyFont="1"/>
    <xf numFmtId="0" fontId="25" fillId="5" borderId="50" xfId="0" applyFont="1" applyFill="1" applyBorder="1" applyAlignment="1" applyProtection="1">
      <alignment horizontal="left" vertical="center"/>
    </xf>
    <xf numFmtId="0" fontId="25" fillId="5" borderId="54" xfId="0" applyFont="1" applyFill="1" applyBorder="1" applyAlignment="1" applyProtection="1">
      <alignment horizontal="left" vertical="center"/>
    </xf>
    <xf numFmtId="44" fontId="24" fillId="0" borderId="72" xfId="4" applyNumberFormat="1" applyFont="1" applyBorder="1" applyAlignment="1" applyProtection="1">
      <alignment horizontal="center" vertical="center"/>
      <protection locked="0"/>
    </xf>
    <xf numFmtId="44" fontId="24" fillId="0" borderId="73" xfId="4" applyNumberFormat="1" applyFont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right" vertical="center"/>
    </xf>
    <xf numFmtId="0" fontId="25" fillId="4" borderId="17" xfId="0" applyFont="1" applyFill="1" applyBorder="1" applyAlignment="1" applyProtection="1">
      <alignment horizontal="right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4" borderId="49" xfId="0" applyFont="1" applyFill="1" applyBorder="1" applyAlignment="1" applyProtection="1">
      <alignment horizontal="right" vertical="center"/>
    </xf>
    <xf numFmtId="0" fontId="25" fillId="4" borderId="35" xfId="0" applyFont="1" applyFill="1" applyBorder="1" applyAlignment="1" applyProtection="1">
      <alignment horizontal="right" vertical="center"/>
    </xf>
    <xf numFmtId="44" fontId="24" fillId="0" borderId="45" xfId="4" applyFont="1" applyBorder="1" applyAlignment="1" applyProtection="1">
      <alignment horizontal="center" vertical="center"/>
      <protection locked="0"/>
    </xf>
    <xf numFmtId="44" fontId="24" fillId="0" borderId="43" xfId="4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4" fontId="24" fillId="0" borderId="72" xfId="4" applyFont="1" applyFill="1" applyBorder="1" applyAlignment="1" applyProtection="1">
      <alignment horizontal="center" vertical="center"/>
      <protection locked="0"/>
    </xf>
    <xf numFmtId="44" fontId="24" fillId="0" borderId="73" xfId="4" applyFont="1" applyFill="1" applyBorder="1" applyAlignment="1" applyProtection="1">
      <alignment horizontal="center" vertical="center"/>
      <protection locked="0"/>
    </xf>
    <xf numFmtId="44" fontId="26" fillId="0" borderId="72" xfId="4" applyFont="1" applyFill="1" applyBorder="1" applyAlignment="1" applyProtection="1">
      <alignment horizontal="center" vertical="center"/>
      <protection locked="0"/>
    </xf>
    <xf numFmtId="44" fontId="26" fillId="0" borderId="73" xfId="4" applyFont="1" applyFill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44" fontId="24" fillId="0" borderId="60" xfId="4" applyNumberFormat="1" applyFont="1" applyBorder="1" applyAlignment="1" applyProtection="1">
      <alignment horizontal="center" vertical="center"/>
      <protection locked="0"/>
    </xf>
    <xf numFmtId="44" fontId="24" fillId="0" borderId="61" xfId="4" applyNumberFormat="1" applyFont="1" applyBorder="1" applyAlignment="1" applyProtection="1">
      <alignment horizontal="center" vertical="center"/>
      <protection locked="0"/>
    </xf>
    <xf numFmtId="0" fontId="20" fillId="5" borderId="60" xfId="0" applyFont="1" applyFill="1" applyBorder="1" applyAlignment="1" applyProtection="1">
      <alignment horizontal="right" vertical="center"/>
    </xf>
    <xf numFmtId="0" fontId="20" fillId="5" borderId="43" xfId="0" applyFont="1" applyFill="1" applyBorder="1" applyAlignment="1" applyProtection="1">
      <alignment horizontal="right" vertical="center"/>
    </xf>
    <xf numFmtId="0" fontId="20" fillId="5" borderId="61" xfId="0" applyFont="1" applyFill="1" applyBorder="1" applyAlignment="1" applyProtection="1">
      <alignment horizontal="right" vertical="center"/>
    </xf>
    <xf numFmtId="2" fontId="20" fillId="3" borderId="62" xfId="0" applyNumberFormat="1" applyFont="1" applyFill="1" applyBorder="1" applyAlignment="1" applyProtection="1">
      <alignment horizontal="center" vertical="center" wrapText="1"/>
    </xf>
    <xf numFmtId="2" fontId="20" fillId="3" borderId="63" xfId="0" applyNumberFormat="1" applyFont="1" applyFill="1" applyBorder="1" applyAlignment="1" applyProtection="1">
      <alignment horizontal="center" vertical="center" wrapText="1"/>
    </xf>
    <xf numFmtId="2" fontId="20" fillId="3" borderId="64" xfId="0" applyNumberFormat="1" applyFont="1" applyFill="1" applyBorder="1" applyAlignment="1" applyProtection="1">
      <alignment horizontal="center" vertical="center" wrapText="1"/>
    </xf>
    <xf numFmtId="0" fontId="20" fillId="5" borderId="65" xfId="0" applyFont="1" applyFill="1" applyBorder="1" applyAlignment="1" applyProtection="1">
      <alignment horizontal="right" vertical="center"/>
    </xf>
    <xf numFmtId="0" fontId="20" fillId="5" borderId="34" xfId="0" applyFont="1" applyFill="1" applyBorder="1" applyAlignment="1" applyProtection="1">
      <alignment horizontal="right" vertical="center"/>
    </xf>
    <xf numFmtId="0" fontId="20" fillId="5" borderId="66" xfId="0" applyFont="1" applyFill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0" fontId="20" fillId="0" borderId="4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5" xfId="0" applyFont="1" applyBorder="1" applyAlignment="1" applyProtection="1">
      <alignment horizontal="center"/>
    </xf>
    <xf numFmtId="2" fontId="20" fillId="5" borderId="60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" fontId="20" fillId="0" borderId="5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37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0" xfId="0" applyBorder="1" applyAlignment="1">
      <alignment horizontal="left" wrapText="1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8" fontId="0" fillId="0" borderId="25" xfId="0" applyNumberFormat="1" applyBorder="1" applyAlignment="1">
      <alignment horizontal="left"/>
    </xf>
    <xf numFmtId="0" fontId="16" fillId="0" borderId="87" xfId="10" applyFont="1" applyBorder="1" applyAlignment="1">
      <alignment horizontal="center" vertical="center"/>
    </xf>
    <xf numFmtId="0" fontId="16" fillId="0" borderId="71" xfId="10" applyFont="1" applyBorder="1" applyAlignment="1">
      <alignment horizontal="center" vertical="center"/>
    </xf>
    <xf numFmtId="0" fontId="16" fillId="0" borderId="88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9" xfId="0" applyBorder="1" applyAlignment="1">
      <alignment horizontal="center"/>
    </xf>
    <xf numFmtId="0" fontId="16" fillId="2" borderId="83" xfId="10" applyFont="1" applyFill="1" applyBorder="1" applyAlignment="1">
      <alignment horizontal="center" vertical="center"/>
    </xf>
    <xf numFmtId="0" fontId="16" fillId="2" borderId="19" xfId="10" applyFont="1" applyFill="1" applyBorder="1" applyAlignment="1">
      <alignment horizontal="center" vertical="center"/>
    </xf>
    <xf numFmtId="0" fontId="16" fillId="2" borderId="40" xfId="10" applyFont="1" applyFill="1" applyBorder="1" applyAlignment="1">
      <alignment horizontal="center" vertical="center"/>
    </xf>
    <xf numFmtId="0" fontId="16" fillId="6" borderId="78" xfId="10" applyFont="1" applyFill="1" applyBorder="1" applyAlignment="1">
      <alignment horizontal="right" vertical="center"/>
    </xf>
    <xf numFmtId="0" fontId="16" fillId="6" borderId="17" xfId="10" applyFont="1" applyFill="1" applyBorder="1" applyAlignment="1">
      <alignment horizontal="right" vertical="center"/>
    </xf>
    <xf numFmtId="0" fontId="16" fillId="6" borderId="59" xfId="1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6" fillId="2" borderId="27" xfId="10" applyFont="1" applyFill="1" applyBorder="1" applyAlignment="1">
      <alignment horizontal="left" vertical="center" wrapText="1"/>
    </xf>
    <xf numFmtId="0" fontId="16" fillId="2" borderId="19" xfId="10" applyFont="1" applyFill="1" applyBorder="1" applyAlignment="1">
      <alignment horizontal="left" vertical="center" wrapText="1"/>
    </xf>
    <xf numFmtId="0" fontId="16" fillId="2" borderId="84" xfId="1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82" xfId="0" applyBorder="1" applyAlignment="1">
      <alignment horizontal="center"/>
    </xf>
    <xf numFmtId="0" fontId="16" fillId="0" borderId="83" xfId="10" applyFont="1" applyBorder="1" applyAlignment="1">
      <alignment horizontal="right"/>
    </xf>
    <xf numFmtId="0" fontId="16" fillId="0" borderId="19" xfId="10" applyFont="1" applyBorder="1" applyAlignment="1">
      <alignment horizontal="right"/>
    </xf>
    <xf numFmtId="0" fontId="16" fillId="0" borderId="28" xfId="10" applyFont="1" applyBorder="1" applyAlignment="1">
      <alignment horizontal="right"/>
    </xf>
    <xf numFmtId="10" fontId="3" fillId="0" borderId="25" xfId="3" applyNumberFormat="1" applyFont="1" applyBorder="1" applyAlignment="1">
      <alignment horizontal="left"/>
    </xf>
    <xf numFmtId="10" fontId="3" fillId="0" borderId="26" xfId="3" applyNumberFormat="1" applyFont="1" applyBorder="1" applyAlignment="1">
      <alignment horizontal="left"/>
    </xf>
    <xf numFmtId="0" fontId="16" fillId="0" borderId="79" xfId="10" applyFont="1" applyBorder="1" applyAlignment="1">
      <alignment horizontal="center" vertical="center"/>
    </xf>
    <xf numFmtId="0" fontId="16" fillId="0" borderId="0" xfId="10" applyFont="1" applyBorder="1" applyAlignment="1">
      <alignment horizontal="center" vertical="center"/>
    </xf>
    <xf numFmtId="0" fontId="16" fillId="0" borderId="80" xfId="1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7" fontId="12" fillId="3" borderId="37" xfId="1" applyNumberFormat="1" applyFont="1" applyFill="1" applyBorder="1" applyAlignment="1">
      <alignment horizontal="center"/>
    </xf>
    <xf numFmtId="17" fontId="12" fillId="3" borderId="22" xfId="1" applyNumberFormat="1" applyFont="1" applyFill="1" applyBorder="1" applyAlignment="1">
      <alignment horizontal="center"/>
    </xf>
    <xf numFmtId="17" fontId="12" fillId="3" borderId="23" xfId="1" applyNumberFormat="1" applyFont="1" applyFill="1" applyBorder="1" applyAlignment="1">
      <alignment horizontal="center"/>
    </xf>
    <xf numFmtId="0" fontId="16" fillId="0" borderId="90" xfId="10" applyFont="1" applyBorder="1" applyAlignment="1">
      <alignment horizontal="right"/>
    </xf>
    <xf numFmtId="0" fontId="16" fillId="0" borderId="91" xfId="10" applyFont="1" applyBorder="1" applyAlignment="1">
      <alignment horizontal="right"/>
    </xf>
    <xf numFmtId="0" fontId="16" fillId="0" borderId="92" xfId="10" applyFont="1" applyBorder="1" applyAlignment="1">
      <alignment horizontal="right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/>
    </xf>
    <xf numFmtId="17" fontId="1" fillId="3" borderId="2" xfId="0" applyNumberFormat="1" applyFont="1" applyFill="1" applyBorder="1" applyAlignment="1">
      <alignment horizontal="center"/>
    </xf>
    <xf numFmtId="17" fontId="1" fillId="3" borderId="3" xfId="0" applyNumberFormat="1" applyFont="1" applyFill="1" applyBorder="1" applyAlignment="1">
      <alignment horizontal="center"/>
    </xf>
    <xf numFmtId="17" fontId="1" fillId="3" borderId="4" xfId="0" applyNumberFormat="1" applyFont="1" applyFill="1" applyBorder="1" applyAlignment="1">
      <alignment horizontal="center"/>
    </xf>
    <xf numFmtId="17" fontId="1" fillId="3" borderId="0" xfId="0" applyNumberFormat="1" applyFont="1" applyFill="1" applyBorder="1" applyAlignment="1">
      <alignment horizontal="center"/>
    </xf>
    <xf numFmtId="17" fontId="1" fillId="3" borderId="5" xfId="0" applyNumberFormat="1" applyFont="1" applyFill="1" applyBorder="1" applyAlignment="1">
      <alignment horizontal="center"/>
    </xf>
    <xf numFmtId="168" fontId="0" fillId="0" borderId="0" xfId="0" applyNumberFormat="1" applyBorder="1"/>
  </cellXfs>
  <cellStyles count="16">
    <cellStyle name="Moeda" xfId="4" builtinId="4"/>
    <cellStyle name="Moeda 2" xfId="2"/>
    <cellStyle name="Moeda 2 2" xfId="8"/>
    <cellStyle name="Moeda 3" xfId="9"/>
    <cellStyle name="Moeda 4" xfId="11"/>
    <cellStyle name="Moeda 5" xfId="14"/>
    <cellStyle name="Normal" xfId="0" builtinId="0"/>
    <cellStyle name="Normal 2" xfId="12"/>
    <cellStyle name="Normal 3" xfId="1"/>
    <cellStyle name="Normal 4" xfId="5"/>
    <cellStyle name="Normal 5" xfId="10"/>
    <cellStyle name="Porcentagem" xfId="3" builtinId="5"/>
    <cellStyle name="Porcentagem 2" xfId="13"/>
    <cellStyle name="Vírgula" xfId="7" builtinId="3"/>
    <cellStyle name="Vírgula 2" xfId="15"/>
    <cellStyle name="Vírgula 5" xfId="6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14655</xdr:colOff>
      <xdr:row>1</xdr:row>
      <xdr:rowOff>170717</xdr:rowOff>
    </xdr:from>
    <xdr:to>
      <xdr:col>1</xdr:col>
      <xdr:colOff>904102</xdr:colOff>
      <xdr:row>8</xdr:row>
      <xdr:rowOff>14653</xdr:rowOff>
    </xdr:to>
    <xdr:pic>
      <xdr:nvPicPr>
        <xdr:cNvPr id="3" name="Imagem 2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5" y="368544"/>
          <a:ext cx="1490255" cy="1170109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233527</xdr:colOff>
      <xdr:row>1</xdr:row>
      <xdr:rowOff>58464</xdr:rowOff>
    </xdr:from>
    <xdr:to>
      <xdr:col>3</xdr:col>
      <xdr:colOff>2383446</xdr:colOff>
      <xdr:row>7</xdr:row>
      <xdr:rowOff>313597</xdr:rowOff>
    </xdr:to>
    <xdr:pic>
      <xdr:nvPicPr>
        <xdr:cNvPr id="7" name="Imagem 6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113" y="248964"/>
          <a:ext cx="2149919" cy="1702019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161925</xdr:rowOff>
    </xdr:from>
    <xdr:to>
      <xdr:col>1</xdr:col>
      <xdr:colOff>853291</xdr:colOff>
      <xdr:row>8</xdr:row>
      <xdr:rowOff>0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958190" cy="155257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114300</xdr:rowOff>
    </xdr:from>
    <xdr:to>
      <xdr:col>1</xdr:col>
      <xdr:colOff>1874920</xdr:colOff>
      <xdr:row>8</xdr:row>
      <xdr:rowOff>104775</xdr:rowOff>
    </xdr:to>
    <xdr:pic>
      <xdr:nvPicPr>
        <xdr:cNvPr id="3" name="Imagem 2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0CF57DDE-E558-46C7-8914-E5670256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4800"/>
          <a:ext cx="2141620" cy="169545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3</xdr:row>
      <xdr:rowOff>152399</xdr:rowOff>
    </xdr:from>
    <xdr:to>
      <xdr:col>1</xdr:col>
      <xdr:colOff>701255</xdr:colOff>
      <xdr:row>7</xdr:row>
      <xdr:rowOff>228600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9274C49B-F7D4-48D0-A723-98B850EA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" y="723899"/>
          <a:ext cx="1255610" cy="100965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104775</xdr:colOff>
          <xdr:row>79</xdr:row>
          <xdr:rowOff>47625</xdr:rowOff>
        </xdr:from>
        <xdr:to>
          <xdr:col>11</xdr:col>
          <xdr:colOff>85725</xdr:colOff>
          <xdr:row>81</xdr:row>
          <xdr:rowOff>180975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142874</xdr:colOff>
      <xdr:row>68</xdr:row>
      <xdr:rowOff>57149</xdr:rowOff>
    </xdr:from>
    <xdr:to>
      <xdr:col>12</xdr:col>
      <xdr:colOff>911967</xdr:colOff>
      <xdr:row>75</xdr:row>
      <xdr:rowOff>66674</xdr:rowOff>
    </xdr:to>
    <xdr:pic>
      <xdr:nvPicPr>
        <xdr:cNvPr id="5" name="Imagem 4" descr="https://superpublicidade.com.br/wp-content/uploads/2019/12/Prefeitura-Catalao.png">
          <a:extLst>
            <a:ext uri="{FF2B5EF4-FFF2-40B4-BE49-F238E27FC236}">
              <a16:creationId xmlns:a16="http://schemas.microsoft.com/office/drawing/2014/main" xmlns="" id="{9274C49B-F7D4-48D0-A723-98B850EA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899" y="16097249"/>
          <a:ext cx="1740643" cy="134302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8"/>
  <sheetViews>
    <sheetView showGridLines="0" tabSelected="1" zoomScale="115" zoomScaleNormal="115" workbookViewId="0">
      <selection activeCell="F7" sqref="F7"/>
    </sheetView>
  </sheetViews>
  <sheetFormatPr defaultColWidth="8.85546875" defaultRowHeight="15.75" x14ac:dyDescent="0.25"/>
  <cols>
    <col min="1" max="1" width="9" style="7" customWidth="1"/>
    <col min="2" max="2" width="14.28515625" style="96" bestFit="1" customWidth="1"/>
    <col min="3" max="3" width="11.140625" style="96" customWidth="1"/>
    <col min="4" max="4" width="77.140625" style="41" bestFit="1" customWidth="1"/>
    <col min="5" max="5" width="8.7109375" style="95" bestFit="1" customWidth="1"/>
    <col min="6" max="6" width="8.5703125" style="7" customWidth="1"/>
    <col min="7" max="7" width="16.140625" style="8" customWidth="1"/>
    <col min="8" max="8" width="16.85546875" style="8" bestFit="1" customWidth="1"/>
    <col min="9" max="9" width="18.7109375" style="8" customWidth="1"/>
    <col min="10" max="11" width="12.7109375" style="478" bestFit="1" customWidth="1"/>
    <col min="12" max="12" width="12.7109375" style="479" bestFit="1" customWidth="1"/>
    <col min="13" max="13" width="10.5703125" style="479" bestFit="1" customWidth="1"/>
    <col min="14" max="16384" width="8.85546875" style="5"/>
  </cols>
  <sheetData>
    <row r="1" spans="1:13" ht="15" x14ac:dyDescent="0.25">
      <c r="A1" s="262"/>
      <c r="B1" s="263"/>
      <c r="C1" s="494" t="s">
        <v>0</v>
      </c>
      <c r="D1" s="494"/>
      <c r="E1" s="494"/>
      <c r="F1" s="494"/>
      <c r="G1" s="494"/>
      <c r="H1" s="494"/>
      <c r="I1" s="495"/>
    </row>
    <row r="2" spans="1:13" ht="15" x14ac:dyDescent="0.25">
      <c r="A2" s="264"/>
      <c r="B2" s="265"/>
      <c r="C2" s="496" t="s">
        <v>309</v>
      </c>
      <c r="D2" s="496"/>
      <c r="E2" s="496"/>
      <c r="F2" s="496"/>
      <c r="G2" s="496"/>
      <c r="H2" s="496"/>
      <c r="I2" s="497"/>
    </row>
    <row r="3" spans="1:13" ht="15" x14ac:dyDescent="0.25">
      <c r="A3" s="264"/>
      <c r="B3" s="265"/>
      <c r="C3" s="266" t="s">
        <v>303</v>
      </c>
      <c r="D3" s="267" t="s">
        <v>1</v>
      </c>
      <c r="E3" s="268"/>
      <c r="F3" s="268"/>
      <c r="G3" s="268"/>
      <c r="H3" s="268"/>
      <c r="I3" s="269"/>
    </row>
    <row r="4" spans="1:13" ht="14.25" customHeight="1" x14ac:dyDescent="0.25">
      <c r="A4" s="264"/>
      <c r="B4" s="265"/>
      <c r="C4" s="266" t="s">
        <v>305</v>
      </c>
      <c r="D4" s="270" t="s">
        <v>1494</v>
      </c>
      <c r="E4" s="271"/>
      <c r="F4" s="271"/>
      <c r="G4" s="272"/>
      <c r="H4" s="272"/>
      <c r="I4" s="269"/>
    </row>
    <row r="5" spans="1:13" ht="15" x14ac:dyDescent="0.25">
      <c r="A5" s="264"/>
      <c r="B5" s="265"/>
      <c r="C5" s="266" t="s">
        <v>304</v>
      </c>
      <c r="D5" s="273">
        <v>2021003462</v>
      </c>
      <c r="E5" s="271"/>
      <c r="F5" s="271"/>
      <c r="G5" s="274"/>
      <c r="H5" s="272"/>
      <c r="I5" s="269"/>
    </row>
    <row r="6" spans="1:13" ht="15" x14ac:dyDescent="0.25">
      <c r="A6" s="264"/>
      <c r="B6" s="265"/>
      <c r="C6" s="266" t="s">
        <v>306</v>
      </c>
      <c r="D6" s="275" t="s">
        <v>457</v>
      </c>
      <c r="E6" s="271"/>
      <c r="F6" s="271"/>
      <c r="G6" s="272"/>
      <c r="H6" s="272"/>
      <c r="I6" s="269"/>
    </row>
    <row r="7" spans="1:13" ht="15" x14ac:dyDescent="0.25">
      <c r="A7" s="264"/>
      <c r="B7" s="265"/>
      <c r="C7" s="266" t="s">
        <v>307</v>
      </c>
      <c r="D7" s="270" t="s">
        <v>425</v>
      </c>
      <c r="E7" s="271"/>
      <c r="F7" s="271"/>
      <c r="G7" s="272"/>
      <c r="H7" s="272"/>
      <c r="I7" s="269"/>
    </row>
    <row r="8" spans="1:13" ht="15" x14ac:dyDescent="0.25">
      <c r="A8" s="264"/>
      <c r="B8" s="265"/>
      <c r="C8" s="266"/>
      <c r="D8" s="270" t="s">
        <v>456</v>
      </c>
      <c r="E8" s="271"/>
      <c r="F8" s="271"/>
      <c r="G8" s="272"/>
      <c r="H8" s="272"/>
      <c r="I8" s="269"/>
    </row>
    <row r="9" spans="1:13" s="94" customFormat="1" ht="15" x14ac:dyDescent="0.25">
      <c r="A9" s="264"/>
      <c r="B9" s="265"/>
      <c r="C9" s="266"/>
      <c r="D9" s="270" t="s">
        <v>1492</v>
      </c>
      <c r="E9" s="271"/>
      <c r="F9" s="271"/>
      <c r="G9" s="272"/>
      <c r="H9" s="272"/>
      <c r="I9" s="269"/>
      <c r="J9" s="478"/>
      <c r="K9" s="478"/>
      <c r="L9" s="479"/>
      <c r="M9" s="479"/>
    </row>
    <row r="10" spans="1:13" ht="15" x14ac:dyDescent="0.25">
      <c r="A10" s="264"/>
      <c r="B10" s="265"/>
      <c r="C10" s="266" t="s">
        <v>308</v>
      </c>
      <c r="D10" s="276" t="str">
        <f>'MEMÓRIA DE CÁLCULO'!B10</f>
        <v>TERÇA FEIRA, 9 DE FEVEREIRO DE 2021</v>
      </c>
      <c r="E10" s="271"/>
      <c r="F10" s="271"/>
      <c r="G10" s="272"/>
      <c r="H10" s="272"/>
      <c r="I10" s="269"/>
    </row>
    <row r="11" spans="1:13" thickBot="1" x14ac:dyDescent="0.3">
      <c r="A11" s="277"/>
      <c r="B11" s="278"/>
      <c r="C11" s="279" t="s">
        <v>277</v>
      </c>
      <c r="D11" s="280" t="s">
        <v>1490</v>
      </c>
      <c r="E11" s="281"/>
      <c r="F11" s="281"/>
      <c r="G11" s="282"/>
      <c r="H11" s="283"/>
      <c r="I11" s="284"/>
    </row>
    <row r="12" spans="1:13" thickBot="1" x14ac:dyDescent="0.3">
      <c r="A12" s="285"/>
      <c r="B12" s="286"/>
      <c r="C12" s="286"/>
      <c r="D12" s="287"/>
      <c r="E12" s="285"/>
      <c r="F12" s="285"/>
      <c r="G12" s="288"/>
      <c r="H12" s="289"/>
      <c r="I12" s="286"/>
    </row>
    <row r="13" spans="1:13" thickBot="1" x14ac:dyDescent="0.3">
      <c r="A13" s="290" t="s">
        <v>2</v>
      </c>
      <c r="B13" s="291" t="s">
        <v>301</v>
      </c>
      <c r="C13" s="292" t="s">
        <v>302</v>
      </c>
      <c r="D13" s="293" t="s">
        <v>3</v>
      </c>
      <c r="E13" s="294" t="s">
        <v>4</v>
      </c>
      <c r="F13" s="290" t="s">
        <v>5</v>
      </c>
      <c r="G13" s="295" t="s">
        <v>6</v>
      </c>
      <c r="H13" s="295" t="s">
        <v>7</v>
      </c>
      <c r="I13" s="295" t="s">
        <v>8</v>
      </c>
      <c r="L13" s="480"/>
    </row>
    <row r="14" spans="1:13" ht="15" x14ac:dyDescent="0.25">
      <c r="A14" s="296">
        <v>1</v>
      </c>
      <c r="B14" s="297" t="s">
        <v>9</v>
      </c>
      <c r="C14" s="297">
        <v>20000</v>
      </c>
      <c r="D14" s="488" t="s">
        <v>10</v>
      </c>
      <c r="E14" s="488"/>
      <c r="F14" s="488"/>
      <c r="G14" s="488"/>
      <c r="H14" s="488"/>
      <c r="I14" s="489"/>
    </row>
    <row r="15" spans="1:13" ht="25.5" x14ac:dyDescent="0.25">
      <c r="A15" s="298" t="s">
        <v>11</v>
      </c>
      <c r="B15" s="299" t="s">
        <v>9</v>
      </c>
      <c r="C15" s="299">
        <v>20107</v>
      </c>
      <c r="D15" s="300" t="s">
        <v>462</v>
      </c>
      <c r="E15" s="301">
        <f>'MEMÓRIA DE CÁLCULO'!D16</f>
        <v>1</v>
      </c>
      <c r="F15" s="299" t="s">
        <v>458</v>
      </c>
      <c r="G15" s="302"/>
      <c r="H15" s="302"/>
      <c r="I15" s="303">
        <f t="shared" ref="I15:I23" si="0">(G15+H15)*E15</f>
        <v>0</v>
      </c>
      <c r="J15" s="478">
        <f>G15*E15</f>
        <v>0</v>
      </c>
      <c r="K15" s="478">
        <f>H15*E15</f>
        <v>0</v>
      </c>
      <c r="L15" s="478">
        <f>K15+J15</f>
        <v>0</v>
      </c>
    </row>
    <row r="16" spans="1:13" ht="15" x14ac:dyDescent="0.25">
      <c r="A16" s="298" t="s">
        <v>13</v>
      </c>
      <c r="B16" s="299" t="s">
        <v>9</v>
      </c>
      <c r="C16" s="299">
        <v>20190</v>
      </c>
      <c r="D16" s="304" t="s">
        <v>668</v>
      </c>
      <c r="E16" s="301">
        <f>'MEMÓRIA DE CÁLCULO'!D19</f>
        <v>4520.6000000000004</v>
      </c>
      <c r="F16" s="299" t="s">
        <v>15</v>
      </c>
      <c r="G16" s="302"/>
      <c r="H16" s="302"/>
      <c r="I16" s="303">
        <f t="shared" si="0"/>
        <v>0</v>
      </c>
      <c r="J16" s="478">
        <f t="shared" ref="J16:J79" si="1">G16*E16</f>
        <v>0</v>
      </c>
      <c r="K16" s="478">
        <f t="shared" ref="K16:K79" si="2">H16*E16</f>
        <v>0</v>
      </c>
      <c r="L16" s="478">
        <f>K16+J16</f>
        <v>0</v>
      </c>
    </row>
    <row r="17" spans="1:13" ht="25.5" x14ac:dyDescent="0.25">
      <c r="A17" s="298" t="s">
        <v>14</v>
      </c>
      <c r="B17" s="305" t="s">
        <v>44</v>
      </c>
      <c r="C17" s="305">
        <v>10776</v>
      </c>
      <c r="D17" s="306" t="s">
        <v>45</v>
      </c>
      <c r="E17" s="301">
        <f>'MEMÓRIA DE CÁLCULO'!D22</f>
        <v>12</v>
      </c>
      <c r="F17" s="305" t="s">
        <v>280</v>
      </c>
      <c r="G17" s="500"/>
      <c r="H17" s="500"/>
      <c r="I17" s="303">
        <f t="shared" si="0"/>
        <v>0</v>
      </c>
      <c r="J17" s="478">
        <f t="shared" si="1"/>
        <v>0</v>
      </c>
      <c r="K17" s="478">
        <f t="shared" si="2"/>
        <v>0</v>
      </c>
      <c r="L17" s="478">
        <f t="shared" ref="L17:L126" si="3">K17+J17</f>
        <v>0</v>
      </c>
      <c r="M17" s="481"/>
    </row>
    <row r="18" spans="1:13" ht="25.5" x14ac:dyDescent="0.25">
      <c r="A18" s="298" t="s">
        <v>16</v>
      </c>
      <c r="B18" s="305" t="s">
        <v>9</v>
      </c>
      <c r="C18" s="305">
        <v>20701</v>
      </c>
      <c r="D18" s="306" t="s">
        <v>667</v>
      </c>
      <c r="E18" s="301">
        <f>'MEMÓRIA DE CÁLCULO'!D28</f>
        <v>1043.0999999999999</v>
      </c>
      <c r="F18" s="305" t="s">
        <v>15</v>
      </c>
      <c r="G18" s="302"/>
      <c r="H18" s="302"/>
      <c r="I18" s="303">
        <f t="shared" si="0"/>
        <v>0</v>
      </c>
      <c r="J18" s="478">
        <f t="shared" si="1"/>
        <v>0</v>
      </c>
      <c r="K18" s="478">
        <f t="shared" si="2"/>
        <v>0</v>
      </c>
      <c r="L18" s="478">
        <f t="shared" si="3"/>
        <v>0</v>
      </c>
      <c r="M18" s="481"/>
    </row>
    <row r="19" spans="1:13" ht="25.5" x14ac:dyDescent="0.25">
      <c r="A19" s="298" t="s">
        <v>17</v>
      </c>
      <c r="B19" s="305" t="s">
        <v>9</v>
      </c>
      <c r="C19" s="305">
        <v>21301</v>
      </c>
      <c r="D19" s="306" t="s">
        <v>46</v>
      </c>
      <c r="E19" s="301">
        <f>'MEMÓRIA DE CÁLCULO'!D32</f>
        <v>3</v>
      </c>
      <c r="F19" s="305" t="s">
        <v>15</v>
      </c>
      <c r="G19" s="302"/>
      <c r="H19" s="302"/>
      <c r="I19" s="303">
        <f t="shared" si="0"/>
        <v>0</v>
      </c>
      <c r="J19" s="478">
        <f t="shared" si="1"/>
        <v>0</v>
      </c>
      <c r="K19" s="478">
        <f t="shared" si="2"/>
        <v>0</v>
      </c>
      <c r="L19" s="478">
        <f t="shared" si="3"/>
        <v>0</v>
      </c>
      <c r="M19" s="481"/>
    </row>
    <row r="20" spans="1:13" ht="15" x14ac:dyDescent="0.25">
      <c r="A20" s="298" t="s">
        <v>47</v>
      </c>
      <c r="B20" s="305" t="s">
        <v>9</v>
      </c>
      <c r="C20" s="305">
        <v>21399</v>
      </c>
      <c r="D20" s="306" t="s">
        <v>1301</v>
      </c>
      <c r="E20" s="307">
        <f>'MEMÓRIA DE CÁLCULO'!D36</f>
        <v>482.74667999999997</v>
      </c>
      <c r="F20" s="301" t="s">
        <v>52</v>
      </c>
      <c r="G20" s="302"/>
      <c r="H20" s="302"/>
      <c r="I20" s="303">
        <f t="shared" si="0"/>
        <v>0</v>
      </c>
      <c r="J20" s="478">
        <f t="shared" si="1"/>
        <v>0</v>
      </c>
      <c r="K20" s="478">
        <f t="shared" si="2"/>
        <v>0</v>
      </c>
      <c r="L20" s="478"/>
      <c r="M20" s="481"/>
    </row>
    <row r="21" spans="1:13" ht="15" x14ac:dyDescent="0.25">
      <c r="A21" s="298" t="s">
        <v>48</v>
      </c>
      <c r="B21" s="305" t="s">
        <v>9</v>
      </c>
      <c r="C21" s="305">
        <v>21400</v>
      </c>
      <c r="D21" s="306" t="str">
        <f>'MEMÓRIA DE CÁLCULO'!B37</f>
        <v>CONSUMO DE ÁGUA</v>
      </c>
      <c r="E21" s="301">
        <f>'MEMÓRIA DE CÁLCULO'!D40</f>
        <v>482.74667999999997</v>
      </c>
      <c r="F21" s="305" t="s">
        <v>63</v>
      </c>
      <c r="G21" s="302"/>
      <c r="H21" s="302"/>
      <c r="I21" s="303">
        <f t="shared" si="0"/>
        <v>0</v>
      </c>
      <c r="J21" s="478">
        <f t="shared" si="1"/>
        <v>0</v>
      </c>
      <c r="K21" s="478">
        <f t="shared" si="2"/>
        <v>0</v>
      </c>
      <c r="L21" s="478">
        <f t="shared" si="3"/>
        <v>0</v>
      </c>
      <c r="M21" s="481"/>
    </row>
    <row r="22" spans="1:13" ht="15" x14ac:dyDescent="0.25">
      <c r="A22" s="298" t="s">
        <v>459</v>
      </c>
      <c r="B22" s="305" t="s">
        <v>9</v>
      </c>
      <c r="C22" s="305">
        <v>21401</v>
      </c>
      <c r="D22" s="306" t="str">
        <f>'MEMÓRIA DE CÁLCULO'!B41</f>
        <v>CONSUMO DE ENERGIA ELÉTRICA</v>
      </c>
      <c r="E22" s="301">
        <f>'MEMÓRIA DE CÁLCULO'!D44</f>
        <v>3437.1918269999996</v>
      </c>
      <c r="F22" s="305" t="s">
        <v>455</v>
      </c>
      <c r="G22" s="302"/>
      <c r="H22" s="302"/>
      <c r="I22" s="303">
        <f t="shared" si="0"/>
        <v>0</v>
      </c>
      <c r="J22" s="478">
        <f t="shared" si="1"/>
        <v>0</v>
      </c>
      <c r="K22" s="478">
        <f t="shared" si="2"/>
        <v>0</v>
      </c>
      <c r="L22" s="478">
        <f t="shared" si="3"/>
        <v>0</v>
      </c>
      <c r="M22" s="481"/>
    </row>
    <row r="23" spans="1:13" ht="26.25" thickBot="1" x14ac:dyDescent="0.3">
      <c r="A23" s="298" t="s">
        <v>1300</v>
      </c>
      <c r="B23" s="271" t="s">
        <v>44</v>
      </c>
      <c r="C23" s="308">
        <v>10779</v>
      </c>
      <c r="D23" s="309" t="s">
        <v>1298</v>
      </c>
      <c r="E23" s="310">
        <f>'MEMÓRIA DE CÁLCULO'!D47</f>
        <v>12</v>
      </c>
      <c r="F23" s="271" t="s">
        <v>1299</v>
      </c>
      <c r="G23" s="501"/>
      <c r="H23" s="501"/>
      <c r="I23" s="303">
        <f t="shared" si="0"/>
        <v>0</v>
      </c>
      <c r="J23" s="478">
        <f t="shared" si="1"/>
        <v>0</v>
      </c>
      <c r="K23" s="478">
        <f>J23/2</f>
        <v>0</v>
      </c>
      <c r="L23" s="478"/>
      <c r="M23" s="481"/>
    </row>
    <row r="24" spans="1:13" ht="15" x14ac:dyDescent="0.25">
      <c r="A24" s="498" t="s">
        <v>310</v>
      </c>
      <c r="B24" s="499"/>
      <c r="C24" s="499"/>
      <c r="D24" s="499"/>
      <c r="E24" s="499"/>
      <c r="F24" s="499"/>
      <c r="G24" s="499"/>
      <c r="H24" s="499"/>
      <c r="I24" s="311">
        <f>ROUND(SUM(I15:I23),2)</f>
        <v>0</v>
      </c>
      <c r="J24" s="478">
        <f t="shared" si="1"/>
        <v>0</v>
      </c>
      <c r="K24" s="478">
        <f t="shared" si="2"/>
        <v>0</v>
      </c>
      <c r="L24" s="478">
        <f t="shared" si="3"/>
        <v>0</v>
      </c>
    </row>
    <row r="25" spans="1:13" thickBot="1" x14ac:dyDescent="0.3">
      <c r="A25" s="312" t="s">
        <v>2</v>
      </c>
      <c r="B25" s="312" t="s">
        <v>301</v>
      </c>
      <c r="C25" s="312" t="s">
        <v>302</v>
      </c>
      <c r="D25" s="313" t="s">
        <v>3</v>
      </c>
      <c r="E25" s="312" t="s">
        <v>4</v>
      </c>
      <c r="F25" s="312" t="s">
        <v>5</v>
      </c>
      <c r="G25" s="312" t="s">
        <v>6</v>
      </c>
      <c r="H25" s="312" t="s">
        <v>7</v>
      </c>
      <c r="I25" s="314" t="s">
        <v>8</v>
      </c>
      <c r="L25" s="478"/>
    </row>
    <row r="26" spans="1:13" ht="15" x14ac:dyDescent="0.25">
      <c r="A26" s="296">
        <v>2</v>
      </c>
      <c r="B26" s="297" t="s">
        <v>9</v>
      </c>
      <c r="C26" s="297">
        <v>30000</v>
      </c>
      <c r="D26" s="488" t="s">
        <v>18</v>
      </c>
      <c r="E26" s="488"/>
      <c r="F26" s="488"/>
      <c r="G26" s="488"/>
      <c r="H26" s="488"/>
      <c r="I26" s="489"/>
      <c r="J26" s="478">
        <f t="shared" si="1"/>
        <v>0</v>
      </c>
      <c r="K26" s="478">
        <f t="shared" si="2"/>
        <v>0</v>
      </c>
      <c r="L26" s="478">
        <f t="shared" si="3"/>
        <v>0</v>
      </c>
    </row>
    <row r="27" spans="1:13" ht="15" x14ac:dyDescent="0.25">
      <c r="A27" s="298" t="s">
        <v>19</v>
      </c>
      <c r="B27" s="305" t="s">
        <v>9</v>
      </c>
      <c r="C27" s="305">
        <v>30106</v>
      </c>
      <c r="D27" s="306" t="s">
        <v>294</v>
      </c>
      <c r="E27" s="301">
        <f>'MEMÓRIA DE CÁLCULO'!D53</f>
        <v>678.09</v>
      </c>
      <c r="F27" s="305" t="s">
        <v>63</v>
      </c>
      <c r="G27" s="302"/>
      <c r="H27" s="302"/>
      <c r="I27" s="303">
        <f>(G27+H27)*E27</f>
        <v>0</v>
      </c>
      <c r="J27" s="478">
        <f t="shared" si="1"/>
        <v>0</v>
      </c>
      <c r="K27" s="478">
        <f t="shared" si="2"/>
        <v>0</v>
      </c>
      <c r="L27" s="478">
        <f t="shared" si="3"/>
        <v>0</v>
      </c>
    </row>
    <row r="28" spans="1:13" thickBot="1" x14ac:dyDescent="0.3">
      <c r="A28" s="298" t="s">
        <v>292</v>
      </c>
      <c r="B28" s="305" t="s">
        <v>9</v>
      </c>
      <c r="C28" s="305">
        <v>30105</v>
      </c>
      <c r="D28" s="306" t="s">
        <v>293</v>
      </c>
      <c r="E28" s="301">
        <f>'MEMÓRIA DE CÁLCULO'!D57</f>
        <v>73.016999999999996</v>
      </c>
      <c r="F28" s="305" t="s">
        <v>52</v>
      </c>
      <c r="G28" s="302"/>
      <c r="H28" s="302"/>
      <c r="I28" s="303">
        <f>(G28+H28)*E28</f>
        <v>0</v>
      </c>
      <c r="J28" s="478">
        <f t="shared" si="1"/>
        <v>0</v>
      </c>
      <c r="K28" s="478">
        <f t="shared" si="2"/>
        <v>0</v>
      </c>
      <c r="L28" s="478">
        <f t="shared" si="3"/>
        <v>0</v>
      </c>
    </row>
    <row r="29" spans="1:13" thickBot="1" x14ac:dyDescent="0.3">
      <c r="A29" s="492" t="s">
        <v>310</v>
      </c>
      <c r="B29" s="493"/>
      <c r="C29" s="493"/>
      <c r="D29" s="493"/>
      <c r="E29" s="493"/>
      <c r="F29" s="493"/>
      <c r="G29" s="493"/>
      <c r="H29" s="493"/>
      <c r="I29" s="315">
        <f>ROUND(SUM(I27:I28),2)</f>
        <v>0</v>
      </c>
      <c r="J29" s="478">
        <f t="shared" si="1"/>
        <v>0</v>
      </c>
      <c r="K29" s="478">
        <f t="shared" si="2"/>
        <v>0</v>
      </c>
      <c r="L29" s="478">
        <f t="shared" si="3"/>
        <v>0</v>
      </c>
    </row>
    <row r="30" spans="1:13" thickBot="1" x14ac:dyDescent="0.3">
      <c r="A30" s="290" t="s">
        <v>2</v>
      </c>
      <c r="B30" s="290" t="s">
        <v>301</v>
      </c>
      <c r="C30" s="290" t="s">
        <v>302</v>
      </c>
      <c r="D30" s="316" t="s">
        <v>3</v>
      </c>
      <c r="E30" s="290" t="s">
        <v>4</v>
      </c>
      <c r="F30" s="290" t="s">
        <v>5</v>
      </c>
      <c r="G30" s="290" t="s">
        <v>6</v>
      </c>
      <c r="H30" s="290" t="s">
        <v>7</v>
      </c>
      <c r="I30" s="314" t="s">
        <v>8</v>
      </c>
      <c r="L30" s="478"/>
    </row>
    <row r="31" spans="1:13" ht="15" x14ac:dyDescent="0.25">
      <c r="A31" s="296">
        <v>3</v>
      </c>
      <c r="B31" s="297" t="s">
        <v>9</v>
      </c>
      <c r="C31" s="297">
        <v>40000</v>
      </c>
      <c r="D31" s="488" t="s">
        <v>20</v>
      </c>
      <c r="E31" s="488"/>
      <c r="F31" s="488"/>
      <c r="G31" s="488"/>
      <c r="H31" s="488"/>
      <c r="I31" s="489"/>
      <c r="J31" s="478">
        <f t="shared" si="1"/>
        <v>0</v>
      </c>
      <c r="K31" s="478">
        <f t="shared" si="2"/>
        <v>0</v>
      </c>
      <c r="L31" s="478">
        <f t="shared" si="3"/>
        <v>0</v>
      </c>
    </row>
    <row r="32" spans="1:13" ht="15" x14ac:dyDescent="0.25">
      <c r="A32" s="317" t="s">
        <v>54</v>
      </c>
      <c r="B32" s="305" t="s">
        <v>298</v>
      </c>
      <c r="C32" s="305">
        <v>6081</v>
      </c>
      <c r="D32" s="306" t="s">
        <v>299</v>
      </c>
      <c r="E32" s="301">
        <f>'MEMÓRIA DE CÁLCULO'!D63</f>
        <v>452.06000000000006</v>
      </c>
      <c r="F32" s="305" t="s">
        <v>52</v>
      </c>
      <c r="G32" s="318"/>
      <c r="H32" s="318"/>
      <c r="I32" s="319">
        <f>(G32+H32)*E32</f>
        <v>0</v>
      </c>
      <c r="J32" s="478">
        <f t="shared" si="1"/>
        <v>0</v>
      </c>
      <c r="K32" s="478">
        <f t="shared" si="2"/>
        <v>0</v>
      </c>
      <c r="L32" s="478">
        <f t="shared" si="3"/>
        <v>0</v>
      </c>
    </row>
    <row r="33" spans="1:12" ht="15" x14ac:dyDescent="0.25">
      <c r="A33" s="317" t="s">
        <v>55</v>
      </c>
      <c r="B33" s="305" t="s">
        <v>9</v>
      </c>
      <c r="C33" s="305">
        <v>40101</v>
      </c>
      <c r="D33" s="306" t="s">
        <v>53</v>
      </c>
      <c r="E33" s="301">
        <f>'MEMÓRIA DE CÁLCULO'!D67</f>
        <v>143.74212000000003</v>
      </c>
      <c r="F33" s="305" t="s">
        <v>52</v>
      </c>
      <c r="G33" s="318"/>
      <c r="H33" s="318"/>
      <c r="I33" s="319">
        <f t="shared" ref="I33:I36" si="4">(G33+H33)*E33</f>
        <v>0</v>
      </c>
      <c r="J33" s="478">
        <f t="shared" si="1"/>
        <v>0</v>
      </c>
      <c r="K33" s="478">
        <f t="shared" si="2"/>
        <v>0</v>
      </c>
      <c r="L33" s="478">
        <f t="shared" si="3"/>
        <v>0</v>
      </c>
    </row>
    <row r="34" spans="1:12" ht="15" x14ac:dyDescent="0.25">
      <c r="A34" s="317" t="s">
        <v>56</v>
      </c>
      <c r="B34" s="305" t="s">
        <v>9</v>
      </c>
      <c r="C34" s="305">
        <v>40902</v>
      </c>
      <c r="D34" s="306" t="s">
        <v>670</v>
      </c>
      <c r="E34" s="301">
        <f>'MEMÓRIA DE CÁLCULO'!D71</f>
        <v>100.2852</v>
      </c>
      <c r="F34" s="305" t="s">
        <v>63</v>
      </c>
      <c r="G34" s="318"/>
      <c r="H34" s="318"/>
      <c r="I34" s="319">
        <f t="shared" si="4"/>
        <v>0</v>
      </c>
      <c r="J34" s="478">
        <f t="shared" si="1"/>
        <v>0</v>
      </c>
      <c r="K34" s="478">
        <f t="shared" si="2"/>
        <v>0</v>
      </c>
      <c r="L34" s="478"/>
    </row>
    <row r="35" spans="1:12" ht="15" x14ac:dyDescent="0.25">
      <c r="A35" s="317" t="s">
        <v>57</v>
      </c>
      <c r="B35" s="305" t="s">
        <v>9</v>
      </c>
      <c r="C35" s="305">
        <v>40905</v>
      </c>
      <c r="D35" s="306" t="str">
        <f>'MEMÓRIA DE CÁLCULO'!B72</f>
        <v>APILOAMENTO MECÂNICO</v>
      </c>
      <c r="E35" s="301">
        <f>'MEMÓRIA DE CÁLCULO'!D75</f>
        <v>1568.11</v>
      </c>
      <c r="F35" s="305" t="s">
        <v>195</v>
      </c>
      <c r="G35" s="318"/>
      <c r="H35" s="318"/>
      <c r="I35" s="319">
        <f t="shared" si="4"/>
        <v>0</v>
      </c>
      <c r="J35" s="478">
        <f t="shared" si="1"/>
        <v>0</v>
      </c>
      <c r="K35" s="478">
        <f t="shared" si="2"/>
        <v>0</v>
      </c>
      <c r="L35" s="478">
        <f t="shared" si="3"/>
        <v>0</v>
      </c>
    </row>
    <row r="36" spans="1:12" thickBot="1" x14ac:dyDescent="0.3">
      <c r="A36" s="317" t="s">
        <v>669</v>
      </c>
      <c r="B36" s="305" t="s">
        <v>9</v>
      </c>
      <c r="C36" s="305">
        <v>41007</v>
      </c>
      <c r="D36" s="306" t="str">
        <f>'MEMÓRIA DE CÁLCULO'!B76</f>
        <v>ESPALHAMENTO MECANICO</v>
      </c>
      <c r="E36" s="301">
        <f>'MEMÓRIA DE CÁLCULO'!D78</f>
        <v>4520.6000000000004</v>
      </c>
      <c r="F36" s="305" t="s">
        <v>15</v>
      </c>
      <c r="G36" s="318"/>
      <c r="H36" s="318"/>
      <c r="I36" s="319">
        <f t="shared" si="4"/>
        <v>0</v>
      </c>
      <c r="J36" s="478">
        <f t="shared" si="1"/>
        <v>0</v>
      </c>
      <c r="K36" s="478">
        <f t="shared" si="2"/>
        <v>0</v>
      </c>
      <c r="L36" s="478">
        <f t="shared" si="3"/>
        <v>0</v>
      </c>
    </row>
    <row r="37" spans="1:12" thickBot="1" x14ac:dyDescent="0.3">
      <c r="A37" s="492" t="s">
        <v>310</v>
      </c>
      <c r="B37" s="493"/>
      <c r="C37" s="493"/>
      <c r="D37" s="493"/>
      <c r="E37" s="493"/>
      <c r="F37" s="493"/>
      <c r="G37" s="493"/>
      <c r="H37" s="493"/>
      <c r="I37" s="315">
        <f>ROUND(SUM(I32:I36),2)</f>
        <v>0</v>
      </c>
      <c r="J37" s="478">
        <f t="shared" si="1"/>
        <v>0</v>
      </c>
      <c r="K37" s="478">
        <f t="shared" si="2"/>
        <v>0</v>
      </c>
      <c r="L37" s="478">
        <f t="shared" si="3"/>
        <v>0</v>
      </c>
    </row>
    <row r="38" spans="1:12" thickBot="1" x14ac:dyDescent="0.3">
      <c r="A38" s="290" t="s">
        <v>2</v>
      </c>
      <c r="B38" s="290" t="s">
        <v>301</v>
      </c>
      <c r="C38" s="290" t="s">
        <v>302</v>
      </c>
      <c r="D38" s="316" t="s">
        <v>3</v>
      </c>
      <c r="E38" s="290" t="s">
        <v>4</v>
      </c>
      <c r="F38" s="290" t="s">
        <v>5</v>
      </c>
      <c r="G38" s="290" t="s">
        <v>6</v>
      </c>
      <c r="H38" s="290" t="s">
        <v>7</v>
      </c>
      <c r="I38" s="314" t="s">
        <v>8</v>
      </c>
      <c r="L38" s="478"/>
    </row>
    <row r="39" spans="1:12" ht="15" x14ac:dyDescent="0.25">
      <c r="A39" s="296">
        <v>4</v>
      </c>
      <c r="B39" s="297" t="s">
        <v>21</v>
      </c>
      <c r="C39" s="297">
        <v>50000</v>
      </c>
      <c r="D39" s="488" t="s">
        <v>22</v>
      </c>
      <c r="E39" s="488"/>
      <c r="F39" s="488"/>
      <c r="G39" s="488"/>
      <c r="H39" s="488"/>
      <c r="I39" s="489"/>
      <c r="J39" s="478">
        <f t="shared" si="1"/>
        <v>0</v>
      </c>
      <c r="K39" s="478">
        <f t="shared" si="2"/>
        <v>0</v>
      </c>
      <c r="L39" s="478">
        <f t="shared" si="3"/>
        <v>0</v>
      </c>
    </row>
    <row r="40" spans="1:12" ht="15" x14ac:dyDescent="0.25">
      <c r="A40" s="320" t="s">
        <v>68</v>
      </c>
      <c r="B40" s="305" t="s">
        <v>9</v>
      </c>
      <c r="C40" s="305">
        <v>50302</v>
      </c>
      <c r="D40" s="306" t="s">
        <v>60</v>
      </c>
      <c r="E40" s="301">
        <f>'MEMÓRIA DE CÁLCULO'!D85</f>
        <v>910</v>
      </c>
      <c r="F40" s="305" t="s">
        <v>108</v>
      </c>
      <c r="G40" s="318"/>
      <c r="H40" s="318"/>
      <c r="I40" s="319">
        <f t="shared" ref="I40:I49" si="5">(G40+H40)*E40</f>
        <v>0</v>
      </c>
      <c r="J40" s="478">
        <f>G40*E40</f>
        <v>0</v>
      </c>
      <c r="K40" s="478">
        <f>H40*E40</f>
        <v>0</v>
      </c>
      <c r="L40" s="478">
        <f>K40+J40</f>
        <v>0</v>
      </c>
    </row>
    <row r="41" spans="1:12" ht="15" x14ac:dyDescent="0.25">
      <c r="A41" s="320" t="s">
        <v>69</v>
      </c>
      <c r="B41" s="305" t="s">
        <v>9</v>
      </c>
      <c r="C41" s="305">
        <v>50901</v>
      </c>
      <c r="D41" s="306" t="s">
        <v>61</v>
      </c>
      <c r="E41" s="301">
        <f>'MEMÓRIA DE CÁLCULO'!D92</f>
        <v>38.072000000000003</v>
      </c>
      <c r="F41" s="305" t="s">
        <v>52</v>
      </c>
      <c r="G41" s="318"/>
      <c r="H41" s="318"/>
      <c r="I41" s="319">
        <f>(G41+H41)*E41</f>
        <v>0</v>
      </c>
      <c r="J41" s="478">
        <f t="shared" si="1"/>
        <v>0</v>
      </c>
      <c r="K41" s="478">
        <f t="shared" si="2"/>
        <v>0</v>
      </c>
      <c r="L41" s="478">
        <f t="shared" si="3"/>
        <v>0</v>
      </c>
    </row>
    <row r="42" spans="1:12" ht="15" x14ac:dyDescent="0.25">
      <c r="A42" s="320" t="s">
        <v>70</v>
      </c>
      <c r="B42" s="305" t="s">
        <v>9</v>
      </c>
      <c r="C42" s="305">
        <v>50902</v>
      </c>
      <c r="D42" s="306" t="str">
        <f>'MEMÓRIA DE CÁLCULO'!B93</f>
        <v>APILOAMENTO MECÂNICO (BLOCOS/SAPATAS)</v>
      </c>
      <c r="E42" s="301">
        <f>'MEMÓRIA DE CÁLCULO'!D99</f>
        <v>69</v>
      </c>
      <c r="F42" s="305" t="s">
        <v>12</v>
      </c>
      <c r="G42" s="318"/>
      <c r="H42" s="318"/>
      <c r="I42" s="319">
        <f t="shared" si="5"/>
        <v>0</v>
      </c>
      <c r="J42" s="478">
        <f t="shared" si="1"/>
        <v>0</v>
      </c>
      <c r="K42" s="478">
        <f t="shared" si="2"/>
        <v>0</v>
      </c>
      <c r="L42" s="478">
        <f t="shared" si="3"/>
        <v>0</v>
      </c>
    </row>
    <row r="43" spans="1:12" ht="15" x14ac:dyDescent="0.25">
      <c r="A43" s="320" t="s">
        <v>71</v>
      </c>
      <c r="B43" s="305" t="s">
        <v>9</v>
      </c>
      <c r="C43" s="305">
        <v>51027</v>
      </c>
      <c r="D43" s="306" t="s">
        <v>1048</v>
      </c>
      <c r="E43" s="301">
        <f>'MEMÓRIA DE CÁLCULO'!D103</f>
        <v>3.45</v>
      </c>
      <c r="F43" s="305" t="s">
        <v>63</v>
      </c>
      <c r="G43" s="318"/>
      <c r="H43" s="318"/>
      <c r="I43" s="319">
        <f t="shared" ref="I43" si="6">(G43+H43)*E43</f>
        <v>0</v>
      </c>
      <c r="J43" s="478">
        <f t="shared" si="1"/>
        <v>0</v>
      </c>
      <c r="K43" s="478">
        <f t="shared" si="2"/>
        <v>0</v>
      </c>
      <c r="L43" s="478">
        <f t="shared" ref="L43" si="7">K43+J43</f>
        <v>0</v>
      </c>
    </row>
    <row r="44" spans="1:12" ht="15" x14ac:dyDescent="0.25">
      <c r="A44" s="320" t="s">
        <v>72</v>
      </c>
      <c r="B44" s="305" t="s">
        <v>9</v>
      </c>
      <c r="C44" s="305">
        <v>51009</v>
      </c>
      <c r="D44" s="306" t="s">
        <v>199</v>
      </c>
      <c r="E44" s="301">
        <f>'MEMÓRIA DE CÁLCULO'!D107</f>
        <v>975.52</v>
      </c>
      <c r="F44" s="305" t="s">
        <v>15</v>
      </c>
      <c r="G44" s="318"/>
      <c r="H44" s="318"/>
      <c r="I44" s="319">
        <f t="shared" si="5"/>
        <v>0</v>
      </c>
      <c r="J44" s="478">
        <f t="shared" si="1"/>
        <v>0</v>
      </c>
      <c r="K44" s="478">
        <f t="shared" si="2"/>
        <v>0</v>
      </c>
      <c r="L44" s="478">
        <f t="shared" si="3"/>
        <v>0</v>
      </c>
    </row>
    <row r="45" spans="1:12" ht="15" x14ac:dyDescent="0.25">
      <c r="A45" s="320" t="s">
        <v>73</v>
      </c>
      <c r="B45" s="305" t="s">
        <v>9</v>
      </c>
      <c r="C45" s="305">
        <v>51017</v>
      </c>
      <c r="D45" s="306" t="s">
        <v>62</v>
      </c>
      <c r="E45" s="301">
        <f>'MEMÓRIA DE CÁLCULO'!D111</f>
        <v>120.042</v>
      </c>
      <c r="F45" s="305" t="s">
        <v>63</v>
      </c>
      <c r="G45" s="318"/>
      <c r="H45" s="318"/>
      <c r="I45" s="319">
        <f t="shared" si="5"/>
        <v>0</v>
      </c>
      <c r="J45" s="478">
        <f t="shared" si="1"/>
        <v>0</v>
      </c>
      <c r="K45" s="478">
        <f t="shared" si="2"/>
        <v>0</v>
      </c>
      <c r="L45" s="478">
        <f t="shared" si="3"/>
        <v>0</v>
      </c>
    </row>
    <row r="46" spans="1:12" ht="15" x14ac:dyDescent="0.25">
      <c r="A46" s="320" t="s">
        <v>74</v>
      </c>
      <c r="B46" s="305" t="s">
        <v>9</v>
      </c>
      <c r="C46" s="305">
        <v>51026</v>
      </c>
      <c r="D46" s="306" t="s">
        <v>64</v>
      </c>
      <c r="E46" s="301">
        <f>'MEMÓRIA DE CÁLCULO'!D115</f>
        <v>120.042</v>
      </c>
      <c r="F46" s="305" t="s">
        <v>52</v>
      </c>
      <c r="G46" s="318"/>
      <c r="H46" s="318"/>
      <c r="I46" s="319">
        <f t="shared" si="5"/>
        <v>0</v>
      </c>
      <c r="J46" s="478">
        <f t="shared" si="1"/>
        <v>0</v>
      </c>
      <c r="K46" s="478">
        <f t="shared" si="2"/>
        <v>0</v>
      </c>
      <c r="L46" s="478">
        <f t="shared" si="3"/>
        <v>0</v>
      </c>
    </row>
    <row r="47" spans="1:12" ht="15" x14ac:dyDescent="0.25">
      <c r="A47" s="320" t="s">
        <v>192</v>
      </c>
      <c r="B47" s="305" t="s">
        <v>9</v>
      </c>
      <c r="C47" s="305">
        <v>52014</v>
      </c>
      <c r="D47" s="306" t="str">
        <f>'MEMÓRIA DE CÁLCULO'!B116</f>
        <v>ACO CA - 60 - 5,0 MM - (OBRAS CIVIS)</v>
      </c>
      <c r="E47" s="301">
        <f>'MEMÓRIA DE CÁLCULO'!D121</f>
        <v>995.02480000000014</v>
      </c>
      <c r="F47" s="305" t="s">
        <v>65</v>
      </c>
      <c r="G47" s="318"/>
      <c r="H47" s="318"/>
      <c r="I47" s="319">
        <f t="shared" si="5"/>
        <v>0</v>
      </c>
      <c r="J47" s="478">
        <f t="shared" si="1"/>
        <v>0</v>
      </c>
      <c r="K47" s="478">
        <f t="shared" si="2"/>
        <v>0</v>
      </c>
      <c r="L47" s="478">
        <f t="shared" si="3"/>
        <v>0</v>
      </c>
    </row>
    <row r="48" spans="1:12" ht="15" x14ac:dyDescent="0.25">
      <c r="A48" s="320" t="s">
        <v>200</v>
      </c>
      <c r="B48" s="305" t="s">
        <v>9</v>
      </c>
      <c r="C48" s="305">
        <v>52003</v>
      </c>
      <c r="D48" s="306" t="s">
        <v>1020</v>
      </c>
      <c r="E48" s="301">
        <f>'MEMÓRIA DE CÁLCULO'!D126</f>
        <v>599.00049999999999</v>
      </c>
      <c r="F48" s="305" t="s">
        <v>65</v>
      </c>
      <c r="G48" s="318"/>
      <c r="H48" s="318"/>
      <c r="I48" s="319">
        <f t="shared" ref="I48" si="8">(G48+H48)*E48</f>
        <v>0</v>
      </c>
      <c r="J48" s="478">
        <f t="shared" si="1"/>
        <v>0</v>
      </c>
      <c r="K48" s="478">
        <f t="shared" si="2"/>
        <v>0</v>
      </c>
      <c r="L48" s="478">
        <f t="shared" ref="L48" si="9">K48+J48</f>
        <v>0</v>
      </c>
    </row>
    <row r="49" spans="1:12" ht="15" x14ac:dyDescent="0.25">
      <c r="A49" s="320" t="s">
        <v>1019</v>
      </c>
      <c r="B49" s="305" t="s">
        <v>9</v>
      </c>
      <c r="C49" s="305">
        <v>52004</v>
      </c>
      <c r="D49" s="306" t="s">
        <v>191</v>
      </c>
      <c r="E49" s="321">
        <f>'MEMÓRIA DE CÁLCULO'!D131</f>
        <v>1392.2644</v>
      </c>
      <c r="F49" s="305" t="s">
        <v>65</v>
      </c>
      <c r="G49" s="318"/>
      <c r="H49" s="318"/>
      <c r="I49" s="319">
        <f t="shared" si="5"/>
        <v>0</v>
      </c>
      <c r="J49" s="478">
        <f t="shared" si="1"/>
        <v>0</v>
      </c>
      <c r="K49" s="478">
        <f t="shared" si="2"/>
        <v>0</v>
      </c>
      <c r="L49" s="478">
        <f t="shared" si="3"/>
        <v>0</v>
      </c>
    </row>
    <row r="50" spans="1:12" ht="15" x14ac:dyDescent="0.25">
      <c r="A50" s="320" t="s">
        <v>1021</v>
      </c>
      <c r="B50" s="322" t="s">
        <v>9</v>
      </c>
      <c r="C50" s="322">
        <v>52005</v>
      </c>
      <c r="D50" s="323" t="s">
        <v>66</v>
      </c>
      <c r="E50" s="324">
        <f>'MEMÓRIA DE CÁLCULO'!D136</f>
        <v>1502.2098999999998</v>
      </c>
      <c r="F50" s="322" t="s">
        <v>67</v>
      </c>
      <c r="G50" s="325"/>
      <c r="H50" s="325"/>
      <c r="I50" s="319">
        <f t="shared" ref="I50:I51" si="10">(G50+H50)*E50</f>
        <v>0</v>
      </c>
      <c r="J50" s="478">
        <f t="shared" si="1"/>
        <v>0</v>
      </c>
      <c r="K50" s="478">
        <f t="shared" si="2"/>
        <v>0</v>
      </c>
      <c r="L50" s="478">
        <f t="shared" ref="L50:L51" si="11">K50+J50</f>
        <v>0</v>
      </c>
    </row>
    <row r="51" spans="1:12" thickBot="1" x14ac:dyDescent="0.3">
      <c r="A51" s="320" t="s">
        <v>1047</v>
      </c>
      <c r="B51" s="322" t="s">
        <v>9</v>
      </c>
      <c r="C51" s="322">
        <v>52006</v>
      </c>
      <c r="D51" s="323" t="s">
        <v>1022</v>
      </c>
      <c r="E51" s="324">
        <f>'MEMÓRIA DE CÁLCULO'!D140</f>
        <v>134.6449090909091</v>
      </c>
      <c r="F51" s="322" t="s">
        <v>67</v>
      </c>
      <c r="G51" s="325"/>
      <c r="H51" s="325"/>
      <c r="I51" s="319">
        <f t="shared" si="10"/>
        <v>0</v>
      </c>
      <c r="J51" s="478">
        <f t="shared" si="1"/>
        <v>0</v>
      </c>
      <c r="K51" s="478">
        <f t="shared" si="2"/>
        <v>0</v>
      </c>
      <c r="L51" s="478">
        <f t="shared" si="11"/>
        <v>0</v>
      </c>
    </row>
    <row r="52" spans="1:12" thickBot="1" x14ac:dyDescent="0.3">
      <c r="A52" s="492" t="s">
        <v>310</v>
      </c>
      <c r="B52" s="493"/>
      <c r="C52" s="493"/>
      <c r="D52" s="493"/>
      <c r="E52" s="493"/>
      <c r="F52" s="493"/>
      <c r="G52" s="493"/>
      <c r="H52" s="493"/>
      <c r="I52" s="315">
        <f>ROUND(SUM(I40:I51),2)</f>
        <v>0</v>
      </c>
      <c r="J52" s="478">
        <f t="shared" si="1"/>
        <v>0</v>
      </c>
      <c r="K52" s="478">
        <f t="shared" si="2"/>
        <v>0</v>
      </c>
      <c r="L52" s="478">
        <f t="shared" si="3"/>
        <v>0</v>
      </c>
    </row>
    <row r="53" spans="1:12" thickBot="1" x14ac:dyDescent="0.3">
      <c r="A53" s="290" t="s">
        <v>2</v>
      </c>
      <c r="B53" s="290" t="s">
        <v>301</v>
      </c>
      <c r="C53" s="290" t="s">
        <v>302</v>
      </c>
      <c r="D53" s="316" t="s">
        <v>3</v>
      </c>
      <c r="E53" s="290" t="s">
        <v>4</v>
      </c>
      <c r="F53" s="290" t="s">
        <v>5</v>
      </c>
      <c r="G53" s="290" t="s">
        <v>6</v>
      </c>
      <c r="H53" s="290" t="s">
        <v>7</v>
      </c>
      <c r="I53" s="314" t="s">
        <v>8</v>
      </c>
      <c r="L53" s="478"/>
    </row>
    <row r="54" spans="1:12" ht="15" x14ac:dyDescent="0.25">
      <c r="A54" s="296">
        <v>5</v>
      </c>
      <c r="B54" s="297" t="s">
        <v>21</v>
      </c>
      <c r="C54" s="297">
        <v>60000</v>
      </c>
      <c r="D54" s="488" t="s">
        <v>23</v>
      </c>
      <c r="E54" s="488"/>
      <c r="F54" s="488"/>
      <c r="G54" s="488"/>
      <c r="H54" s="488"/>
      <c r="I54" s="489"/>
      <c r="J54" s="478">
        <f t="shared" si="1"/>
        <v>0</v>
      </c>
      <c r="K54" s="478">
        <f t="shared" si="2"/>
        <v>0</v>
      </c>
      <c r="L54" s="478">
        <f t="shared" si="3"/>
        <v>0</v>
      </c>
    </row>
    <row r="55" spans="1:12" ht="15" x14ac:dyDescent="0.25">
      <c r="A55" s="320" t="s">
        <v>201</v>
      </c>
      <c r="B55" s="305" t="s">
        <v>9</v>
      </c>
      <c r="C55" s="305">
        <v>60010</v>
      </c>
      <c r="D55" s="306" t="s">
        <v>193</v>
      </c>
      <c r="E55" s="301">
        <f>'MEMÓRIA DE CÁLCULO'!D162</f>
        <v>12.234</v>
      </c>
      <c r="F55" s="305" t="s">
        <v>194</v>
      </c>
      <c r="G55" s="318"/>
      <c r="H55" s="318"/>
      <c r="I55" s="319">
        <f>(G55+H55)*E55</f>
        <v>0</v>
      </c>
      <c r="J55" s="478">
        <f t="shared" si="1"/>
        <v>0</v>
      </c>
      <c r="K55" s="478">
        <f t="shared" si="2"/>
        <v>0</v>
      </c>
      <c r="L55" s="478">
        <f t="shared" si="3"/>
        <v>0</v>
      </c>
    </row>
    <row r="56" spans="1:12" ht="15" x14ac:dyDescent="0.25">
      <c r="A56" s="320" t="s">
        <v>202</v>
      </c>
      <c r="B56" s="305" t="s">
        <v>9</v>
      </c>
      <c r="C56" s="305">
        <v>60105</v>
      </c>
      <c r="D56" s="306" t="s">
        <v>426</v>
      </c>
      <c r="E56" s="301">
        <f>'MEMÓRIA DE CÁLCULO'!D166</f>
        <v>252.83</v>
      </c>
      <c r="F56" s="305" t="s">
        <v>195</v>
      </c>
      <c r="G56" s="318"/>
      <c r="H56" s="318"/>
      <c r="I56" s="319">
        <f t="shared" ref="I56:I67" si="12">(G56+H56)*E56</f>
        <v>0</v>
      </c>
      <c r="J56" s="478">
        <f t="shared" si="1"/>
        <v>0</v>
      </c>
      <c r="K56" s="478">
        <f t="shared" si="2"/>
        <v>0</v>
      </c>
      <c r="L56" s="478">
        <f t="shared" si="3"/>
        <v>0</v>
      </c>
    </row>
    <row r="57" spans="1:12" ht="15" x14ac:dyDescent="0.25">
      <c r="A57" s="326" t="s">
        <v>203</v>
      </c>
      <c r="B57" s="327" t="s">
        <v>9</v>
      </c>
      <c r="C57" s="327">
        <v>60209</v>
      </c>
      <c r="D57" s="328" t="str">
        <f>'MEMÓRIA DE CÁLCULO'!B167</f>
        <v>FORMA - CH.COMPENSADA 17MM PLAST REAP 7 V. - (OBRAS CIVIS</v>
      </c>
      <c r="E57" s="329">
        <f>'MEMÓRIA DE CÁLCULO'!D188</f>
        <v>1467.9870000000003</v>
      </c>
      <c r="F57" s="327" t="s">
        <v>195</v>
      </c>
      <c r="G57" s="330"/>
      <c r="H57" s="330"/>
      <c r="I57" s="331">
        <f t="shared" si="12"/>
        <v>0</v>
      </c>
      <c r="J57" s="478">
        <f t="shared" si="1"/>
        <v>0</v>
      </c>
      <c r="K57" s="478">
        <f t="shared" si="2"/>
        <v>0</v>
      </c>
      <c r="L57" s="478">
        <f t="shared" si="3"/>
        <v>0</v>
      </c>
    </row>
    <row r="58" spans="1:12" ht="15" x14ac:dyDescent="0.25">
      <c r="A58" s="320" t="s">
        <v>204</v>
      </c>
      <c r="B58" s="305" t="s">
        <v>9</v>
      </c>
      <c r="C58" s="305">
        <v>60314</v>
      </c>
      <c r="D58" s="306" t="str">
        <f>'MEMÓRIA DE CÁLCULO'!B189</f>
        <v>ACO CA - 60 - 5,0 MM - (OBRAS CIVIS)</v>
      </c>
      <c r="E58" s="301">
        <f>'MEMÓRIA DE CÁLCULO'!D199</f>
        <v>2061.2884599999998</v>
      </c>
      <c r="F58" s="305" t="s">
        <v>65</v>
      </c>
      <c r="G58" s="318"/>
      <c r="H58" s="318"/>
      <c r="I58" s="319">
        <f t="shared" si="12"/>
        <v>0</v>
      </c>
      <c r="J58" s="478">
        <f t="shared" si="1"/>
        <v>0</v>
      </c>
      <c r="K58" s="478">
        <f t="shared" si="2"/>
        <v>0</v>
      </c>
      <c r="L58" s="478">
        <f t="shared" si="3"/>
        <v>0</v>
      </c>
    </row>
    <row r="59" spans="1:12" ht="15" x14ac:dyDescent="0.25">
      <c r="A59" s="320" t="s">
        <v>205</v>
      </c>
      <c r="B59" s="305" t="s">
        <v>9</v>
      </c>
      <c r="C59" s="305">
        <v>60303</v>
      </c>
      <c r="D59" s="306" t="s">
        <v>1045</v>
      </c>
      <c r="E59" s="301">
        <f>'MEMÓRIA DE CÁLCULO'!D205</f>
        <v>147.00489999999999</v>
      </c>
      <c r="F59" s="305" t="s">
        <v>65</v>
      </c>
      <c r="G59" s="318"/>
      <c r="H59" s="318"/>
      <c r="I59" s="319">
        <f t="shared" ref="I59" si="13">(G59+H59)*E59</f>
        <v>0</v>
      </c>
      <c r="J59" s="478">
        <f t="shared" si="1"/>
        <v>0</v>
      </c>
      <c r="K59" s="478">
        <f t="shared" si="2"/>
        <v>0</v>
      </c>
      <c r="L59" s="478">
        <f t="shared" ref="L59" si="14">K59+J59</f>
        <v>0</v>
      </c>
    </row>
    <row r="60" spans="1:12" ht="15" x14ac:dyDescent="0.25">
      <c r="A60" s="320" t="s">
        <v>206</v>
      </c>
      <c r="B60" s="305" t="s">
        <v>9</v>
      </c>
      <c r="C60" s="305">
        <v>60304</v>
      </c>
      <c r="D60" s="306" t="s">
        <v>215</v>
      </c>
      <c r="E60" s="301">
        <f>'MEMÓRIA DE CÁLCULO'!D212</f>
        <v>1712.6489000000004</v>
      </c>
      <c r="F60" s="305" t="s">
        <v>67</v>
      </c>
      <c r="G60" s="318"/>
      <c r="H60" s="318"/>
      <c r="I60" s="319">
        <f t="shared" si="12"/>
        <v>0</v>
      </c>
      <c r="J60" s="478">
        <f t="shared" si="1"/>
        <v>0</v>
      </c>
      <c r="K60" s="478">
        <f t="shared" si="2"/>
        <v>0</v>
      </c>
      <c r="L60" s="478">
        <f t="shared" si="3"/>
        <v>0</v>
      </c>
    </row>
    <row r="61" spans="1:12" ht="15" x14ac:dyDescent="0.25">
      <c r="A61" s="320" t="s">
        <v>207</v>
      </c>
      <c r="B61" s="305" t="s">
        <v>9</v>
      </c>
      <c r="C61" s="305">
        <v>60305</v>
      </c>
      <c r="D61" s="306" t="s">
        <v>196</v>
      </c>
      <c r="E61" s="301">
        <f>'MEMÓRIA DE CÁLCULO'!D221</f>
        <v>2644.2768999999998</v>
      </c>
      <c r="F61" s="305" t="s">
        <v>65</v>
      </c>
      <c r="G61" s="318"/>
      <c r="H61" s="318"/>
      <c r="I61" s="319">
        <f t="shared" si="12"/>
        <v>0</v>
      </c>
      <c r="J61" s="478">
        <f t="shared" si="1"/>
        <v>0</v>
      </c>
      <c r="K61" s="478">
        <f t="shared" si="2"/>
        <v>0</v>
      </c>
      <c r="L61" s="478">
        <f t="shared" si="3"/>
        <v>0</v>
      </c>
    </row>
    <row r="62" spans="1:12" ht="15" x14ac:dyDescent="0.25">
      <c r="A62" s="320" t="s">
        <v>208</v>
      </c>
      <c r="B62" s="305" t="s">
        <v>9</v>
      </c>
      <c r="C62" s="305">
        <v>60306</v>
      </c>
      <c r="D62" s="306" t="s">
        <v>1026</v>
      </c>
      <c r="E62" s="301">
        <f>'MEMÓRIA DE CÁLCULO'!D229</f>
        <v>1168.0226999999998</v>
      </c>
      <c r="F62" s="305" t="s">
        <v>65</v>
      </c>
      <c r="G62" s="318"/>
      <c r="H62" s="318"/>
      <c r="I62" s="319">
        <f t="shared" ref="I62:I63" si="15">(G62+H62)*E62</f>
        <v>0</v>
      </c>
      <c r="J62" s="478">
        <f t="shared" si="1"/>
        <v>0</v>
      </c>
      <c r="K62" s="478">
        <f t="shared" si="2"/>
        <v>0</v>
      </c>
      <c r="L62" s="478">
        <f t="shared" ref="L62:L63" si="16">K62+J62</f>
        <v>0</v>
      </c>
    </row>
    <row r="63" spans="1:12" ht="15" x14ac:dyDescent="0.25">
      <c r="A63" s="320" t="s">
        <v>214</v>
      </c>
      <c r="B63" s="305" t="s">
        <v>9</v>
      </c>
      <c r="C63" s="305">
        <v>60307</v>
      </c>
      <c r="D63" s="306" t="s">
        <v>1027</v>
      </c>
      <c r="E63" s="301">
        <f>'MEMÓRIA DE CÁLCULO'!D236</f>
        <v>645.08640000000003</v>
      </c>
      <c r="F63" s="305" t="s">
        <v>65</v>
      </c>
      <c r="G63" s="318"/>
      <c r="H63" s="318"/>
      <c r="I63" s="319">
        <f t="shared" si="15"/>
        <v>0</v>
      </c>
      <c r="J63" s="478">
        <f t="shared" si="1"/>
        <v>0</v>
      </c>
      <c r="K63" s="478">
        <f t="shared" si="2"/>
        <v>0</v>
      </c>
      <c r="L63" s="478">
        <f t="shared" si="16"/>
        <v>0</v>
      </c>
    </row>
    <row r="64" spans="1:12" ht="15" x14ac:dyDescent="0.25">
      <c r="A64" s="320" t="s">
        <v>1024</v>
      </c>
      <c r="B64" s="305" t="s">
        <v>9</v>
      </c>
      <c r="C64" s="305">
        <v>60518</v>
      </c>
      <c r="D64" s="306" t="s">
        <v>197</v>
      </c>
      <c r="E64" s="332">
        <f>'MEMÓRIA DE CÁLCULO'!D244</f>
        <v>77.7</v>
      </c>
      <c r="F64" s="305" t="s">
        <v>52</v>
      </c>
      <c r="G64" s="318"/>
      <c r="H64" s="318"/>
      <c r="I64" s="319">
        <f t="shared" si="12"/>
        <v>0</v>
      </c>
      <c r="J64" s="478">
        <f t="shared" si="1"/>
        <v>0</v>
      </c>
      <c r="K64" s="478">
        <f t="shared" si="2"/>
        <v>0</v>
      </c>
      <c r="L64" s="478">
        <f t="shared" si="3"/>
        <v>0</v>
      </c>
    </row>
    <row r="65" spans="1:13" ht="15" x14ac:dyDescent="0.25">
      <c r="A65" s="320" t="s">
        <v>1025</v>
      </c>
      <c r="B65" s="305" t="s">
        <v>9</v>
      </c>
      <c r="C65" s="305">
        <v>60801</v>
      </c>
      <c r="D65" s="306" t="s">
        <v>427</v>
      </c>
      <c r="E65" s="332">
        <f>'MEMÓRIA DE CÁLCULO'!D247</f>
        <v>77.7</v>
      </c>
      <c r="F65" s="305" t="s">
        <v>52</v>
      </c>
      <c r="G65" s="318"/>
      <c r="H65" s="318"/>
      <c r="I65" s="319">
        <f t="shared" si="12"/>
        <v>0</v>
      </c>
      <c r="J65" s="478">
        <f t="shared" si="1"/>
        <v>0</v>
      </c>
      <c r="K65" s="478">
        <f t="shared" si="2"/>
        <v>0</v>
      </c>
      <c r="L65" s="478">
        <f t="shared" si="3"/>
        <v>0</v>
      </c>
    </row>
    <row r="66" spans="1:13" ht="25.5" x14ac:dyDescent="0.25">
      <c r="A66" s="320" t="s">
        <v>1044</v>
      </c>
      <c r="B66" s="333" t="s">
        <v>9</v>
      </c>
      <c r="C66" s="333">
        <v>61101</v>
      </c>
      <c r="D66" s="334" t="s">
        <v>198</v>
      </c>
      <c r="E66" s="335">
        <f>'MEMÓRIA DE CÁLCULO'!D250</f>
        <v>1043.0999999999999</v>
      </c>
      <c r="F66" s="333" t="s">
        <v>15</v>
      </c>
      <c r="G66" s="336"/>
      <c r="H66" s="336"/>
      <c r="I66" s="319">
        <f t="shared" si="12"/>
        <v>0</v>
      </c>
      <c r="J66" s="478">
        <f t="shared" si="1"/>
        <v>0</v>
      </c>
      <c r="K66" s="478">
        <f t="shared" si="2"/>
        <v>0</v>
      </c>
      <c r="L66" s="478">
        <f t="shared" si="3"/>
        <v>0</v>
      </c>
    </row>
    <row r="67" spans="1:13" s="94" customFormat="1" thickBot="1" x14ac:dyDescent="0.3">
      <c r="A67" s="320" t="s">
        <v>1371</v>
      </c>
      <c r="B67" s="333" t="s">
        <v>9</v>
      </c>
      <c r="C67" s="333">
        <v>61102</v>
      </c>
      <c r="D67" s="334" t="str">
        <f>'MEMÓRIA DE CÁLCULO'!B251</f>
        <v>EPS 20 MM PARA JUNTA DILATAÇÃO</v>
      </c>
      <c r="E67" s="335">
        <f>'MEMÓRIA DE CÁLCULO'!D254</f>
        <v>3.9200000000000004</v>
      </c>
      <c r="F67" s="333" t="s">
        <v>195</v>
      </c>
      <c r="G67" s="336"/>
      <c r="H67" s="336"/>
      <c r="I67" s="319">
        <f t="shared" si="12"/>
        <v>0</v>
      </c>
      <c r="J67" s="478">
        <f t="shared" si="1"/>
        <v>0</v>
      </c>
      <c r="K67" s="478">
        <f t="shared" si="2"/>
        <v>0</v>
      </c>
      <c r="L67" s="478"/>
      <c r="M67" s="479"/>
    </row>
    <row r="68" spans="1:13" thickBot="1" x14ac:dyDescent="0.3">
      <c r="A68" s="492" t="s">
        <v>310</v>
      </c>
      <c r="B68" s="493"/>
      <c r="C68" s="493"/>
      <c r="D68" s="493"/>
      <c r="E68" s="493"/>
      <c r="F68" s="493"/>
      <c r="G68" s="493"/>
      <c r="H68" s="493"/>
      <c r="I68" s="315">
        <f>ROUND(SUM(I55:I67),2)</f>
        <v>0</v>
      </c>
      <c r="J68" s="478">
        <f t="shared" si="1"/>
        <v>0</v>
      </c>
      <c r="K68" s="478">
        <f t="shared" si="2"/>
        <v>0</v>
      </c>
      <c r="L68" s="478">
        <f t="shared" si="3"/>
        <v>0</v>
      </c>
    </row>
    <row r="69" spans="1:13" thickBot="1" x14ac:dyDescent="0.3">
      <c r="A69" s="290" t="s">
        <v>2</v>
      </c>
      <c r="B69" s="290" t="s">
        <v>301</v>
      </c>
      <c r="C69" s="290" t="s">
        <v>302</v>
      </c>
      <c r="D69" s="316" t="s">
        <v>3</v>
      </c>
      <c r="E69" s="290" t="s">
        <v>4</v>
      </c>
      <c r="F69" s="290" t="s">
        <v>5</v>
      </c>
      <c r="G69" s="290" t="s">
        <v>6</v>
      </c>
      <c r="H69" s="290" t="s">
        <v>7</v>
      </c>
      <c r="I69" s="314" t="s">
        <v>8</v>
      </c>
      <c r="L69" s="478"/>
    </row>
    <row r="70" spans="1:13" ht="15" x14ac:dyDescent="0.25">
      <c r="A70" s="296">
        <v>6</v>
      </c>
      <c r="B70" s="297" t="s">
        <v>21</v>
      </c>
      <c r="C70" s="297">
        <v>70000</v>
      </c>
      <c r="D70" s="488" t="s">
        <v>24</v>
      </c>
      <c r="E70" s="488"/>
      <c r="F70" s="488"/>
      <c r="G70" s="488"/>
      <c r="H70" s="488"/>
      <c r="I70" s="489"/>
      <c r="J70" s="478">
        <f t="shared" si="1"/>
        <v>0</v>
      </c>
      <c r="K70" s="478">
        <f t="shared" si="2"/>
        <v>0</v>
      </c>
      <c r="L70" s="478">
        <f t="shared" si="3"/>
        <v>0</v>
      </c>
    </row>
    <row r="71" spans="1:13" ht="15" x14ac:dyDescent="0.25">
      <c r="A71" s="320" t="s">
        <v>75</v>
      </c>
      <c r="B71" s="305" t="s">
        <v>9</v>
      </c>
      <c r="C71" s="305">
        <v>70422</v>
      </c>
      <c r="D71" s="306" t="s">
        <v>1201</v>
      </c>
      <c r="E71" s="301">
        <f>'MEMÓRIA DE CÁLCULO'!D258</f>
        <v>10</v>
      </c>
      <c r="F71" s="305" t="s">
        <v>1253</v>
      </c>
      <c r="G71" s="318"/>
      <c r="H71" s="318"/>
      <c r="I71" s="319">
        <f>(G71+H71)*E71</f>
        <v>0</v>
      </c>
      <c r="J71" s="478">
        <f t="shared" si="1"/>
        <v>0</v>
      </c>
      <c r="K71" s="478">
        <f t="shared" si="2"/>
        <v>0</v>
      </c>
      <c r="L71" s="478"/>
    </row>
    <row r="72" spans="1:13" ht="15" x14ac:dyDescent="0.25">
      <c r="A72" s="320" t="s">
        <v>76</v>
      </c>
      <c r="B72" s="305" t="s">
        <v>9</v>
      </c>
      <c r="C72" s="305">
        <v>70424</v>
      </c>
      <c r="D72" s="306" t="s">
        <v>1202</v>
      </c>
      <c r="E72" s="301">
        <f>'MEMÓRIA DE CÁLCULO'!D259</f>
        <v>4</v>
      </c>
      <c r="F72" s="305" t="s">
        <v>1253</v>
      </c>
      <c r="G72" s="318"/>
      <c r="H72" s="318"/>
      <c r="I72" s="319">
        <f t="shared" ref="I72:I134" si="17">(G72+H72)*E72</f>
        <v>0</v>
      </c>
      <c r="J72" s="478">
        <f t="shared" si="1"/>
        <v>0</v>
      </c>
      <c r="K72" s="478">
        <f t="shared" si="2"/>
        <v>0</v>
      </c>
      <c r="L72" s="478"/>
    </row>
    <row r="73" spans="1:13" ht="15" x14ac:dyDescent="0.25">
      <c r="A73" s="320" t="s">
        <v>79</v>
      </c>
      <c r="B73" s="305" t="s">
        <v>9</v>
      </c>
      <c r="C73" s="305">
        <v>70420</v>
      </c>
      <c r="D73" s="306" t="s">
        <v>1203</v>
      </c>
      <c r="E73" s="301">
        <f>'MEMÓRIA DE CÁLCULO'!D260</f>
        <v>4</v>
      </c>
      <c r="F73" s="305" t="s">
        <v>1253</v>
      </c>
      <c r="G73" s="318"/>
      <c r="H73" s="318"/>
      <c r="I73" s="319">
        <f t="shared" si="17"/>
        <v>0</v>
      </c>
      <c r="J73" s="478">
        <f t="shared" si="1"/>
        <v>0</v>
      </c>
      <c r="K73" s="478">
        <f t="shared" si="2"/>
        <v>0</v>
      </c>
      <c r="L73" s="478"/>
    </row>
    <row r="74" spans="1:13" ht="15" x14ac:dyDescent="0.25">
      <c r="A74" s="320" t="s">
        <v>80</v>
      </c>
      <c r="B74" s="305" t="s">
        <v>9</v>
      </c>
      <c r="C74" s="305">
        <v>70691</v>
      </c>
      <c r="D74" s="306" t="s">
        <v>1204</v>
      </c>
      <c r="E74" s="301">
        <f>'MEMÓRIA DE CÁLCULO'!D261</f>
        <v>352</v>
      </c>
      <c r="F74" s="305" t="s">
        <v>278</v>
      </c>
      <c r="G74" s="318"/>
      <c r="H74" s="318"/>
      <c r="I74" s="319">
        <f t="shared" si="17"/>
        <v>0</v>
      </c>
      <c r="J74" s="478">
        <f t="shared" si="1"/>
        <v>0</v>
      </c>
      <c r="K74" s="478">
        <f t="shared" si="2"/>
        <v>0</v>
      </c>
      <c r="L74" s="478"/>
    </row>
    <row r="75" spans="1:13" ht="15" x14ac:dyDescent="0.25">
      <c r="A75" s="320" t="s">
        <v>81</v>
      </c>
      <c r="B75" s="305" t="s">
        <v>9</v>
      </c>
      <c r="C75" s="305">
        <v>70681</v>
      </c>
      <c r="D75" s="306" t="s">
        <v>1166</v>
      </c>
      <c r="E75" s="301">
        <f>'MEMÓRIA DE CÁLCULO'!D262</f>
        <v>28</v>
      </c>
      <c r="F75" s="305" t="s">
        <v>278</v>
      </c>
      <c r="G75" s="318"/>
      <c r="H75" s="318"/>
      <c r="I75" s="319">
        <f t="shared" si="17"/>
        <v>0</v>
      </c>
      <c r="J75" s="478">
        <f t="shared" si="1"/>
        <v>0</v>
      </c>
      <c r="K75" s="478">
        <f t="shared" si="2"/>
        <v>0</v>
      </c>
      <c r="L75" s="478"/>
    </row>
    <row r="76" spans="1:13" ht="25.5" x14ac:dyDescent="0.25">
      <c r="A76" s="320" t="s">
        <v>77</v>
      </c>
      <c r="B76" s="305" t="s">
        <v>44</v>
      </c>
      <c r="C76" s="305">
        <v>91895</v>
      </c>
      <c r="D76" s="306" t="s">
        <v>1245</v>
      </c>
      <c r="E76" s="301">
        <f>'MEMÓRIA DE CÁLCULO'!D263</f>
        <v>1</v>
      </c>
      <c r="F76" s="305" t="s">
        <v>278</v>
      </c>
      <c r="G76" s="337"/>
      <c r="H76" s="337"/>
      <c r="I76" s="319">
        <f t="shared" si="17"/>
        <v>0</v>
      </c>
      <c r="J76" s="478">
        <f t="shared" si="1"/>
        <v>0</v>
      </c>
      <c r="K76" s="478">
        <f t="shared" si="2"/>
        <v>0</v>
      </c>
      <c r="L76" s="478"/>
    </row>
    <row r="77" spans="1:13" ht="25.5" x14ac:dyDescent="0.25">
      <c r="A77" s="320" t="s">
        <v>78</v>
      </c>
      <c r="B77" s="305" t="s">
        <v>44</v>
      </c>
      <c r="C77" s="305">
        <v>91893</v>
      </c>
      <c r="D77" s="306" t="s">
        <v>1246</v>
      </c>
      <c r="E77" s="301">
        <f>'MEMÓRIA DE CÁLCULO'!D264</f>
        <v>5</v>
      </c>
      <c r="F77" s="305" t="s">
        <v>278</v>
      </c>
      <c r="G77" s="337"/>
      <c r="H77" s="337"/>
      <c r="I77" s="319">
        <f t="shared" si="17"/>
        <v>0</v>
      </c>
      <c r="J77" s="478">
        <f t="shared" si="1"/>
        <v>0</v>
      </c>
      <c r="K77" s="478">
        <f t="shared" si="2"/>
        <v>0</v>
      </c>
      <c r="L77" s="478"/>
    </row>
    <row r="78" spans="1:13" ht="15" x14ac:dyDescent="0.25">
      <c r="A78" s="320" t="s">
        <v>82</v>
      </c>
      <c r="B78" s="305" t="s">
        <v>9</v>
      </c>
      <c r="C78" s="305">
        <v>71742</v>
      </c>
      <c r="D78" s="306" t="s">
        <v>1207</v>
      </c>
      <c r="E78" s="301">
        <f>'MEMÓRIA DE CÁLCULO'!D265</f>
        <v>8</v>
      </c>
      <c r="F78" s="305" t="s">
        <v>278</v>
      </c>
      <c r="G78" s="318"/>
      <c r="H78" s="318"/>
      <c r="I78" s="319">
        <f t="shared" si="17"/>
        <v>0</v>
      </c>
      <c r="J78" s="478">
        <f t="shared" si="1"/>
        <v>0</v>
      </c>
      <c r="K78" s="478">
        <f t="shared" si="2"/>
        <v>0</v>
      </c>
      <c r="L78" s="478"/>
    </row>
    <row r="79" spans="1:13" ht="15" x14ac:dyDescent="0.25">
      <c r="A79" s="320" t="s">
        <v>83</v>
      </c>
      <c r="B79" s="305" t="s">
        <v>9</v>
      </c>
      <c r="C79" s="305">
        <v>71773</v>
      </c>
      <c r="D79" s="306" t="s">
        <v>1165</v>
      </c>
      <c r="E79" s="301">
        <f>'MEMÓRIA DE CÁLCULO'!D266</f>
        <v>3</v>
      </c>
      <c r="F79" s="305" t="s">
        <v>278</v>
      </c>
      <c r="G79" s="318"/>
      <c r="H79" s="318"/>
      <c r="I79" s="319">
        <f t="shared" si="17"/>
        <v>0</v>
      </c>
      <c r="J79" s="478">
        <f t="shared" si="1"/>
        <v>0</v>
      </c>
      <c r="K79" s="478">
        <f t="shared" si="2"/>
        <v>0</v>
      </c>
      <c r="L79" s="478"/>
    </row>
    <row r="80" spans="1:13" ht="15" x14ac:dyDescent="0.25">
      <c r="A80" s="320" t="s">
        <v>84</v>
      </c>
      <c r="B80" s="305" t="s">
        <v>483</v>
      </c>
      <c r="C80" s="305">
        <v>4209</v>
      </c>
      <c r="D80" s="306" t="s">
        <v>1208</v>
      </c>
      <c r="E80" s="301">
        <f>'MEMÓRIA DE CÁLCULO'!D267</f>
        <v>1</v>
      </c>
      <c r="F80" s="305" t="s">
        <v>278</v>
      </c>
      <c r="G80" s="318"/>
      <c r="H80" s="318"/>
      <c r="I80" s="319">
        <f t="shared" si="17"/>
        <v>0</v>
      </c>
      <c r="J80" s="478">
        <f t="shared" ref="J80:J143" si="18">G80*E80</f>
        <v>0</v>
      </c>
      <c r="K80" s="478">
        <f t="shared" ref="K80:K143" si="19">H80*E80</f>
        <v>0</v>
      </c>
      <c r="L80" s="478"/>
    </row>
    <row r="81" spans="1:12" ht="15" x14ac:dyDescent="0.25">
      <c r="A81" s="320" t="s">
        <v>85</v>
      </c>
      <c r="B81" s="305" t="s">
        <v>483</v>
      </c>
      <c r="C81" s="305">
        <v>4178</v>
      </c>
      <c r="D81" s="306" t="s">
        <v>1209</v>
      </c>
      <c r="E81" s="301">
        <f>'MEMÓRIA DE CÁLCULO'!D268</f>
        <v>1</v>
      </c>
      <c r="F81" s="305" t="s">
        <v>278</v>
      </c>
      <c r="G81" s="318"/>
      <c r="H81" s="318"/>
      <c r="I81" s="319">
        <f t="shared" si="17"/>
        <v>0</v>
      </c>
      <c r="J81" s="478">
        <f t="shared" si="18"/>
        <v>0</v>
      </c>
      <c r="K81" s="478">
        <f t="shared" si="19"/>
        <v>0</v>
      </c>
      <c r="L81" s="478"/>
    </row>
    <row r="82" spans="1:12" ht="15" x14ac:dyDescent="0.25">
      <c r="A82" s="320" t="s">
        <v>86</v>
      </c>
      <c r="B82" s="305" t="s">
        <v>9</v>
      </c>
      <c r="C82" s="305">
        <v>70570</v>
      </c>
      <c r="D82" s="306" t="s">
        <v>1210</v>
      </c>
      <c r="E82" s="301">
        <f>'MEMÓRIA DE CÁLCULO'!D269</f>
        <v>58.800000000000004</v>
      </c>
      <c r="F82" s="305" t="s">
        <v>108</v>
      </c>
      <c r="G82" s="318"/>
      <c r="H82" s="318"/>
      <c r="I82" s="319">
        <f t="shared" si="17"/>
        <v>0</v>
      </c>
      <c r="J82" s="478">
        <f t="shared" si="18"/>
        <v>0</v>
      </c>
      <c r="K82" s="478">
        <f t="shared" si="19"/>
        <v>0</v>
      </c>
      <c r="L82" s="478"/>
    </row>
    <row r="83" spans="1:12" ht="15" x14ac:dyDescent="0.25">
      <c r="A83" s="320" t="s">
        <v>87</v>
      </c>
      <c r="B83" s="305" t="s">
        <v>9</v>
      </c>
      <c r="C83" s="305">
        <v>70571</v>
      </c>
      <c r="D83" s="306" t="s">
        <v>1211</v>
      </c>
      <c r="E83" s="301">
        <f>'MEMÓRIA DE CÁLCULO'!D270</f>
        <v>1416.6999999999998</v>
      </c>
      <c r="F83" s="305" t="s">
        <v>108</v>
      </c>
      <c r="G83" s="318"/>
      <c r="H83" s="318"/>
      <c r="I83" s="319">
        <f t="shared" si="17"/>
        <v>0</v>
      </c>
      <c r="J83" s="478">
        <f t="shared" si="18"/>
        <v>0</v>
      </c>
      <c r="K83" s="478">
        <f t="shared" si="19"/>
        <v>0</v>
      </c>
      <c r="L83" s="478"/>
    </row>
    <row r="84" spans="1:12" ht="15" x14ac:dyDescent="0.25">
      <c r="A84" s="320" t="s">
        <v>88</v>
      </c>
      <c r="B84" s="305" t="s">
        <v>9</v>
      </c>
      <c r="C84" s="305">
        <v>70563</v>
      </c>
      <c r="D84" s="306" t="s">
        <v>1212</v>
      </c>
      <c r="E84" s="301">
        <f>'MEMÓRIA DE CÁLCULO'!D271</f>
        <v>3864.2999999999997</v>
      </c>
      <c r="F84" s="305" t="s">
        <v>108</v>
      </c>
      <c r="G84" s="318"/>
      <c r="H84" s="318"/>
      <c r="I84" s="319">
        <f t="shared" si="17"/>
        <v>0</v>
      </c>
      <c r="J84" s="478">
        <f t="shared" si="18"/>
        <v>0</v>
      </c>
      <c r="K84" s="478">
        <f t="shared" si="19"/>
        <v>0</v>
      </c>
      <c r="L84" s="478"/>
    </row>
    <row r="85" spans="1:12" ht="15" x14ac:dyDescent="0.25">
      <c r="A85" s="320" t="s">
        <v>89</v>
      </c>
      <c r="B85" s="305" t="s">
        <v>9</v>
      </c>
      <c r="C85" s="305">
        <v>70572</v>
      </c>
      <c r="D85" s="306" t="s">
        <v>1213</v>
      </c>
      <c r="E85" s="301">
        <f>'MEMÓRIA DE CÁLCULO'!D272</f>
        <v>147.9</v>
      </c>
      <c r="F85" s="305" t="s">
        <v>108</v>
      </c>
      <c r="G85" s="318"/>
      <c r="H85" s="318"/>
      <c r="I85" s="319">
        <f t="shared" si="17"/>
        <v>0</v>
      </c>
      <c r="J85" s="478">
        <f t="shared" si="18"/>
        <v>0</v>
      </c>
      <c r="K85" s="478">
        <f t="shared" si="19"/>
        <v>0</v>
      </c>
      <c r="L85" s="478"/>
    </row>
    <row r="86" spans="1:12" ht="15" x14ac:dyDescent="0.25">
      <c r="A86" s="320" t="s">
        <v>90</v>
      </c>
      <c r="B86" s="305" t="s">
        <v>9</v>
      </c>
      <c r="C86" s="305">
        <v>70564</v>
      </c>
      <c r="D86" s="306" t="s">
        <v>1214</v>
      </c>
      <c r="E86" s="301">
        <f>'MEMÓRIA DE CÁLCULO'!D273</f>
        <v>1825</v>
      </c>
      <c r="F86" s="305" t="s">
        <v>108</v>
      </c>
      <c r="G86" s="318"/>
      <c r="H86" s="318"/>
      <c r="I86" s="319">
        <f t="shared" si="17"/>
        <v>0</v>
      </c>
      <c r="J86" s="478">
        <f t="shared" si="18"/>
        <v>0</v>
      </c>
      <c r="K86" s="478">
        <f t="shared" si="19"/>
        <v>0</v>
      </c>
      <c r="L86" s="478"/>
    </row>
    <row r="87" spans="1:12" ht="15" x14ac:dyDescent="0.25">
      <c r="A87" s="320" t="s">
        <v>91</v>
      </c>
      <c r="B87" s="305" t="s">
        <v>9</v>
      </c>
      <c r="C87" s="305">
        <v>70656</v>
      </c>
      <c r="D87" s="306" t="s">
        <v>1215</v>
      </c>
      <c r="E87" s="301">
        <f>'MEMÓRIA DE CÁLCULO'!D274</f>
        <v>1128.0999999999999</v>
      </c>
      <c r="F87" s="305" t="s">
        <v>108</v>
      </c>
      <c r="G87" s="318"/>
      <c r="H87" s="318"/>
      <c r="I87" s="319">
        <f t="shared" si="17"/>
        <v>0</v>
      </c>
      <c r="J87" s="478">
        <f t="shared" si="18"/>
        <v>0</v>
      </c>
      <c r="K87" s="478">
        <f t="shared" si="19"/>
        <v>0</v>
      </c>
      <c r="L87" s="478"/>
    </row>
    <row r="88" spans="1:12" ht="15" x14ac:dyDescent="0.25">
      <c r="A88" s="320" t="s">
        <v>92</v>
      </c>
      <c r="B88" s="305" t="s">
        <v>9</v>
      </c>
      <c r="C88" s="305">
        <v>70588</v>
      </c>
      <c r="D88" s="306" t="s">
        <v>1237</v>
      </c>
      <c r="E88" s="301">
        <f>'MEMÓRIA DE CÁLCULO'!D275</f>
        <v>105</v>
      </c>
      <c r="F88" s="305" t="s">
        <v>108</v>
      </c>
      <c r="G88" s="318"/>
      <c r="H88" s="318"/>
      <c r="I88" s="319">
        <f t="shared" si="17"/>
        <v>0</v>
      </c>
      <c r="J88" s="478">
        <f t="shared" si="18"/>
        <v>0</v>
      </c>
      <c r="K88" s="478">
        <f t="shared" si="19"/>
        <v>0</v>
      </c>
      <c r="L88" s="478"/>
    </row>
    <row r="89" spans="1:12" ht="15" x14ac:dyDescent="0.25">
      <c r="A89" s="320" t="s">
        <v>93</v>
      </c>
      <c r="B89" s="305" t="s">
        <v>9</v>
      </c>
      <c r="C89" s="305">
        <v>70658</v>
      </c>
      <c r="D89" s="306" t="s">
        <v>1239</v>
      </c>
      <c r="E89" s="301">
        <f>'MEMÓRIA DE CÁLCULO'!D276</f>
        <v>57.8</v>
      </c>
      <c r="F89" s="305" t="s">
        <v>108</v>
      </c>
      <c r="G89" s="318"/>
      <c r="H89" s="318"/>
      <c r="I89" s="319">
        <f t="shared" si="17"/>
        <v>0</v>
      </c>
      <c r="J89" s="478">
        <f t="shared" si="18"/>
        <v>0</v>
      </c>
      <c r="K89" s="478">
        <f t="shared" si="19"/>
        <v>0</v>
      </c>
      <c r="L89" s="478"/>
    </row>
    <row r="90" spans="1:12" ht="25.5" x14ac:dyDescent="0.25">
      <c r="A90" s="320" t="s">
        <v>94</v>
      </c>
      <c r="B90" s="305" t="s">
        <v>44</v>
      </c>
      <c r="C90" s="305">
        <v>91987</v>
      </c>
      <c r="D90" s="306" t="s">
        <v>1216</v>
      </c>
      <c r="E90" s="301">
        <f>'MEMÓRIA DE CÁLCULO'!D277</f>
        <v>5</v>
      </c>
      <c r="F90" s="305" t="s">
        <v>108</v>
      </c>
      <c r="G90" s="337"/>
      <c r="H90" s="337"/>
      <c r="I90" s="319">
        <f t="shared" si="17"/>
        <v>0</v>
      </c>
      <c r="J90" s="478">
        <f t="shared" si="18"/>
        <v>0</v>
      </c>
      <c r="K90" s="478">
        <f t="shared" si="19"/>
        <v>0</v>
      </c>
      <c r="L90" s="478"/>
    </row>
    <row r="91" spans="1:12" ht="15" x14ac:dyDescent="0.25">
      <c r="A91" s="320" t="s">
        <v>95</v>
      </c>
      <c r="B91" s="305" t="s">
        <v>9</v>
      </c>
      <c r="C91" s="305">
        <v>71431</v>
      </c>
      <c r="D91" s="306" t="s">
        <v>1217</v>
      </c>
      <c r="E91" s="301">
        <f>'MEMÓRIA DE CÁLCULO'!D278</f>
        <v>15</v>
      </c>
      <c r="F91" s="305" t="s">
        <v>278</v>
      </c>
      <c r="G91" s="318"/>
      <c r="H91" s="318"/>
      <c r="I91" s="319">
        <f t="shared" si="17"/>
        <v>0</v>
      </c>
      <c r="J91" s="478">
        <f t="shared" si="18"/>
        <v>0</v>
      </c>
      <c r="K91" s="478">
        <f t="shared" si="19"/>
        <v>0</v>
      </c>
      <c r="L91" s="478"/>
    </row>
    <row r="92" spans="1:12" ht="15" x14ac:dyDescent="0.25">
      <c r="A92" s="320" t="s">
        <v>96</v>
      </c>
      <c r="B92" s="305" t="s">
        <v>9</v>
      </c>
      <c r="C92" s="305">
        <v>71432</v>
      </c>
      <c r="D92" s="306" t="s">
        <v>1218</v>
      </c>
      <c r="E92" s="301">
        <f>'MEMÓRIA DE CÁLCULO'!D279</f>
        <v>14</v>
      </c>
      <c r="F92" s="305" t="s">
        <v>278</v>
      </c>
      <c r="G92" s="318"/>
      <c r="H92" s="318"/>
      <c r="I92" s="319">
        <f t="shared" si="17"/>
        <v>0</v>
      </c>
      <c r="J92" s="478">
        <f t="shared" si="18"/>
        <v>0</v>
      </c>
      <c r="K92" s="478">
        <f t="shared" si="19"/>
        <v>0</v>
      </c>
      <c r="L92" s="478"/>
    </row>
    <row r="93" spans="1:12" ht="15" x14ac:dyDescent="0.25">
      <c r="A93" s="320" t="s">
        <v>97</v>
      </c>
      <c r="B93" s="305" t="s">
        <v>9</v>
      </c>
      <c r="C93" s="305">
        <v>71430</v>
      </c>
      <c r="D93" s="306" t="s">
        <v>1219</v>
      </c>
      <c r="E93" s="301">
        <f>'MEMÓRIA DE CÁLCULO'!D280</f>
        <v>6</v>
      </c>
      <c r="F93" s="305" t="s">
        <v>278</v>
      </c>
      <c r="G93" s="318"/>
      <c r="H93" s="318"/>
      <c r="I93" s="319">
        <f t="shared" si="17"/>
        <v>0</v>
      </c>
      <c r="J93" s="478">
        <f t="shared" si="18"/>
        <v>0</v>
      </c>
      <c r="K93" s="478">
        <f t="shared" si="19"/>
        <v>0</v>
      </c>
      <c r="L93" s="478"/>
    </row>
    <row r="94" spans="1:12" ht="25.5" x14ac:dyDescent="0.25">
      <c r="A94" s="320" t="s">
        <v>98</v>
      </c>
      <c r="B94" s="305" t="s">
        <v>44</v>
      </c>
      <c r="C94" s="305">
        <v>91969</v>
      </c>
      <c r="D94" s="306" t="s">
        <v>1220</v>
      </c>
      <c r="E94" s="301">
        <f>'MEMÓRIA DE CÁLCULO'!D281</f>
        <v>4</v>
      </c>
      <c r="F94" s="305" t="s">
        <v>278</v>
      </c>
      <c r="G94" s="337"/>
      <c r="H94" s="337"/>
      <c r="I94" s="319">
        <f t="shared" si="17"/>
        <v>0</v>
      </c>
      <c r="J94" s="478">
        <f t="shared" si="18"/>
        <v>0</v>
      </c>
      <c r="K94" s="478">
        <f t="shared" si="19"/>
        <v>0</v>
      </c>
      <c r="L94" s="478"/>
    </row>
    <row r="95" spans="1:12" ht="15" x14ac:dyDescent="0.25">
      <c r="A95" s="320" t="s">
        <v>99</v>
      </c>
      <c r="B95" s="305" t="s">
        <v>9</v>
      </c>
      <c r="C95" s="305">
        <v>71441</v>
      </c>
      <c r="D95" s="306" t="s">
        <v>1221</v>
      </c>
      <c r="E95" s="301">
        <f>'MEMÓRIA DE CÁLCULO'!D282</f>
        <v>18</v>
      </c>
      <c r="F95" s="305"/>
      <c r="G95" s="318"/>
      <c r="H95" s="318"/>
      <c r="I95" s="319">
        <f t="shared" si="17"/>
        <v>0</v>
      </c>
      <c r="J95" s="478">
        <f t="shared" si="18"/>
        <v>0</v>
      </c>
      <c r="K95" s="478">
        <f t="shared" si="19"/>
        <v>0</v>
      </c>
      <c r="L95" s="478"/>
    </row>
    <row r="96" spans="1:12" ht="15" x14ac:dyDescent="0.25">
      <c r="A96" s="320" t="s">
        <v>100</v>
      </c>
      <c r="B96" s="305" t="s">
        <v>9</v>
      </c>
      <c r="C96" s="305">
        <v>71440</v>
      </c>
      <c r="D96" s="306" t="s">
        <v>1222</v>
      </c>
      <c r="E96" s="301">
        <f>'MEMÓRIA DE CÁLCULO'!D283</f>
        <v>38</v>
      </c>
      <c r="F96" s="305" t="s">
        <v>278</v>
      </c>
      <c r="G96" s="318"/>
      <c r="H96" s="318"/>
      <c r="I96" s="319">
        <f t="shared" si="17"/>
        <v>0</v>
      </c>
      <c r="J96" s="478">
        <f t="shared" si="18"/>
        <v>0</v>
      </c>
      <c r="K96" s="478">
        <f t="shared" si="19"/>
        <v>0</v>
      </c>
      <c r="L96" s="478"/>
    </row>
    <row r="97" spans="1:12" ht="15" x14ac:dyDescent="0.25">
      <c r="A97" s="320" t="s">
        <v>101</v>
      </c>
      <c r="B97" s="305" t="s">
        <v>9</v>
      </c>
      <c r="C97" s="305">
        <v>72160</v>
      </c>
      <c r="D97" s="306" t="s">
        <v>1164</v>
      </c>
      <c r="E97" s="301">
        <f>'MEMÓRIA DE CÁLCULO'!D284</f>
        <v>9</v>
      </c>
      <c r="F97" s="305" t="s">
        <v>278</v>
      </c>
      <c r="G97" s="318"/>
      <c r="H97" s="318"/>
      <c r="I97" s="319">
        <f t="shared" si="17"/>
        <v>0</v>
      </c>
      <c r="J97" s="478">
        <f t="shared" si="18"/>
        <v>0</v>
      </c>
      <c r="K97" s="478">
        <f t="shared" si="19"/>
        <v>0</v>
      </c>
      <c r="L97" s="478"/>
    </row>
    <row r="98" spans="1:12" ht="15" x14ac:dyDescent="0.25">
      <c r="A98" s="320" t="s">
        <v>102</v>
      </c>
      <c r="B98" s="305" t="s">
        <v>9</v>
      </c>
      <c r="C98" s="305">
        <v>71443</v>
      </c>
      <c r="D98" s="306" t="s">
        <v>1163</v>
      </c>
      <c r="E98" s="301">
        <f>'MEMÓRIA DE CÁLCULO'!D285</f>
        <v>5</v>
      </c>
      <c r="F98" s="305" t="s">
        <v>278</v>
      </c>
      <c r="G98" s="318"/>
      <c r="H98" s="318"/>
      <c r="I98" s="319">
        <f t="shared" si="17"/>
        <v>0</v>
      </c>
      <c r="J98" s="478">
        <f t="shared" si="18"/>
        <v>0</v>
      </c>
      <c r="K98" s="478">
        <f t="shared" si="19"/>
        <v>0</v>
      </c>
      <c r="L98" s="478"/>
    </row>
    <row r="99" spans="1:12" ht="15" x14ac:dyDescent="0.25">
      <c r="A99" s="320" t="s">
        <v>103</v>
      </c>
      <c r="B99" s="305" t="s">
        <v>9</v>
      </c>
      <c r="C99" s="305">
        <v>72585</v>
      </c>
      <c r="D99" s="306" t="s">
        <v>1162</v>
      </c>
      <c r="E99" s="301">
        <f>'MEMÓRIA DE CÁLCULO'!D286</f>
        <v>116</v>
      </c>
      <c r="F99" s="305" t="s">
        <v>278</v>
      </c>
      <c r="G99" s="318"/>
      <c r="H99" s="318"/>
      <c r="I99" s="319">
        <f t="shared" si="17"/>
        <v>0</v>
      </c>
      <c r="J99" s="478">
        <f t="shared" si="18"/>
        <v>0</v>
      </c>
      <c r="K99" s="478">
        <f t="shared" si="19"/>
        <v>0</v>
      </c>
      <c r="L99" s="478"/>
    </row>
    <row r="100" spans="1:12" ht="25.5" x14ac:dyDescent="0.25">
      <c r="A100" s="320" t="s">
        <v>104</v>
      </c>
      <c r="B100" s="305" t="s">
        <v>9</v>
      </c>
      <c r="C100" s="305">
        <v>92005</v>
      </c>
      <c r="D100" s="306" t="s">
        <v>1247</v>
      </c>
      <c r="E100" s="301">
        <f>'MEMÓRIA DE CÁLCULO'!D287</f>
        <v>26</v>
      </c>
      <c r="F100" s="305" t="s">
        <v>278</v>
      </c>
      <c r="G100" s="337"/>
      <c r="H100" s="337"/>
      <c r="I100" s="319">
        <f t="shared" ref="I100" si="20">(G100+H100)*E100</f>
        <v>0</v>
      </c>
      <c r="J100" s="478">
        <f t="shared" si="18"/>
        <v>0</v>
      </c>
      <c r="K100" s="478">
        <f t="shared" si="19"/>
        <v>0</v>
      </c>
      <c r="L100" s="478"/>
    </row>
    <row r="101" spans="1:12" ht="15" x14ac:dyDescent="0.25">
      <c r="A101" s="320" t="s">
        <v>105</v>
      </c>
      <c r="B101" s="305" t="s">
        <v>9</v>
      </c>
      <c r="C101" s="305">
        <v>72320</v>
      </c>
      <c r="D101" s="338" t="str">
        <f>'MEMÓRIA DE CÁLCULO'!B288</f>
        <v>RELE FOTO ELETRICO COM BASE</v>
      </c>
      <c r="E101" s="301">
        <f>'MEMÓRIA DE CÁLCULO'!D288</f>
        <v>1</v>
      </c>
      <c r="F101" s="305" t="s">
        <v>278</v>
      </c>
      <c r="G101" s="337"/>
      <c r="H101" s="337"/>
      <c r="I101" s="319">
        <f t="shared" ref="I101" si="21">(G101+H101)*E101</f>
        <v>0</v>
      </c>
      <c r="J101" s="478">
        <f t="shared" si="18"/>
        <v>0</v>
      </c>
      <c r="K101" s="478">
        <f t="shared" si="19"/>
        <v>0</v>
      </c>
      <c r="L101" s="478"/>
    </row>
    <row r="102" spans="1:12" ht="25.5" x14ac:dyDescent="0.25">
      <c r="A102" s="320" t="s">
        <v>106</v>
      </c>
      <c r="B102" s="305" t="s">
        <v>44</v>
      </c>
      <c r="C102" s="305">
        <v>97595</v>
      </c>
      <c r="D102" s="306" t="s">
        <v>1161</v>
      </c>
      <c r="E102" s="301">
        <f>'MEMÓRIA DE CÁLCULO'!D289</f>
        <v>1</v>
      </c>
      <c r="F102" s="305" t="s">
        <v>278</v>
      </c>
      <c r="G102" s="337"/>
      <c r="H102" s="337"/>
      <c r="I102" s="319">
        <f t="shared" si="17"/>
        <v>0</v>
      </c>
      <c r="J102" s="478">
        <f t="shared" si="18"/>
        <v>0</v>
      </c>
      <c r="K102" s="478">
        <f t="shared" si="19"/>
        <v>0</v>
      </c>
      <c r="L102" s="478"/>
    </row>
    <row r="103" spans="1:12" ht="15" x14ac:dyDescent="0.25">
      <c r="A103" s="320" t="s">
        <v>107</v>
      </c>
      <c r="B103" s="305" t="s">
        <v>9</v>
      </c>
      <c r="C103" s="305">
        <v>71176</v>
      </c>
      <c r="D103" s="306" t="s">
        <v>1160</v>
      </c>
      <c r="E103" s="301">
        <f>'MEMÓRIA DE CÁLCULO'!D290</f>
        <v>3</v>
      </c>
      <c r="F103" s="305" t="s">
        <v>278</v>
      </c>
      <c r="G103" s="318"/>
      <c r="H103" s="318"/>
      <c r="I103" s="319">
        <f t="shared" si="17"/>
        <v>0</v>
      </c>
      <c r="J103" s="478">
        <f t="shared" si="18"/>
        <v>0</v>
      </c>
      <c r="K103" s="478">
        <f t="shared" si="19"/>
        <v>0</v>
      </c>
      <c r="L103" s="478"/>
    </row>
    <row r="104" spans="1:12" ht="15" x14ac:dyDescent="0.25">
      <c r="A104" s="320" t="s">
        <v>1167</v>
      </c>
      <c r="B104" s="305" t="s">
        <v>9</v>
      </c>
      <c r="C104" s="305">
        <v>71173</v>
      </c>
      <c r="D104" s="306" t="s">
        <v>1159</v>
      </c>
      <c r="E104" s="301">
        <f>'MEMÓRIA DE CÁLCULO'!D291</f>
        <v>49</v>
      </c>
      <c r="F104" s="305" t="s">
        <v>278</v>
      </c>
      <c r="G104" s="318"/>
      <c r="H104" s="318"/>
      <c r="I104" s="319">
        <f t="shared" si="17"/>
        <v>0</v>
      </c>
      <c r="J104" s="478">
        <f t="shared" si="18"/>
        <v>0</v>
      </c>
      <c r="K104" s="478">
        <f t="shared" si="19"/>
        <v>0</v>
      </c>
      <c r="L104" s="478"/>
    </row>
    <row r="105" spans="1:12" ht="15" x14ac:dyDescent="0.25">
      <c r="A105" s="320" t="s">
        <v>1168</v>
      </c>
      <c r="B105" s="305" t="s">
        <v>9</v>
      </c>
      <c r="C105" s="305">
        <v>71174</v>
      </c>
      <c r="D105" s="306" t="s">
        <v>1158</v>
      </c>
      <c r="E105" s="301">
        <f>'MEMÓRIA DE CÁLCULO'!D292</f>
        <v>1</v>
      </c>
      <c r="F105" s="305" t="s">
        <v>278</v>
      </c>
      <c r="G105" s="318"/>
      <c r="H105" s="318"/>
      <c r="I105" s="319">
        <f t="shared" si="17"/>
        <v>0</v>
      </c>
      <c r="J105" s="478">
        <f t="shared" si="18"/>
        <v>0</v>
      </c>
      <c r="K105" s="478">
        <f t="shared" si="19"/>
        <v>0</v>
      </c>
      <c r="L105" s="478"/>
    </row>
    <row r="106" spans="1:12" ht="15" x14ac:dyDescent="0.25">
      <c r="A106" s="320" t="s">
        <v>1169</v>
      </c>
      <c r="B106" s="305" t="s">
        <v>9</v>
      </c>
      <c r="C106" s="305">
        <v>71175</v>
      </c>
      <c r="D106" s="306" t="s">
        <v>1223</v>
      </c>
      <c r="E106" s="301">
        <f>'MEMÓRIA DE CÁLCULO'!D293</f>
        <v>1</v>
      </c>
      <c r="F106" s="305"/>
      <c r="G106" s="318"/>
      <c r="H106" s="318"/>
      <c r="I106" s="319">
        <f t="shared" si="17"/>
        <v>0</v>
      </c>
      <c r="J106" s="478">
        <f t="shared" si="18"/>
        <v>0</v>
      </c>
      <c r="K106" s="478">
        <f t="shared" si="19"/>
        <v>0</v>
      </c>
      <c r="L106" s="478"/>
    </row>
    <row r="107" spans="1:12" ht="15" x14ac:dyDescent="0.25">
      <c r="A107" s="320" t="s">
        <v>1170</v>
      </c>
      <c r="B107" s="305" t="s">
        <v>9</v>
      </c>
      <c r="C107" s="305">
        <v>71194</v>
      </c>
      <c r="D107" s="306" t="s">
        <v>1157</v>
      </c>
      <c r="E107" s="301">
        <f>'MEMÓRIA DE CÁLCULO'!D294</f>
        <v>339.7</v>
      </c>
      <c r="F107" s="305" t="s">
        <v>108</v>
      </c>
      <c r="G107" s="318"/>
      <c r="H107" s="318"/>
      <c r="I107" s="319">
        <f t="shared" si="17"/>
        <v>0</v>
      </c>
      <c r="J107" s="478">
        <f t="shared" si="18"/>
        <v>0</v>
      </c>
      <c r="K107" s="478">
        <f t="shared" si="19"/>
        <v>0</v>
      </c>
      <c r="L107" s="478"/>
    </row>
    <row r="108" spans="1:12" ht="15" x14ac:dyDescent="0.25">
      <c r="A108" s="320" t="s">
        <v>1171</v>
      </c>
      <c r="B108" s="305" t="s">
        <v>9</v>
      </c>
      <c r="C108" s="305">
        <v>71193</v>
      </c>
      <c r="D108" s="306" t="s">
        <v>1156</v>
      </c>
      <c r="E108" s="301">
        <f>'MEMÓRIA DE CÁLCULO'!D295</f>
        <v>1524.5</v>
      </c>
      <c r="F108" s="305" t="s">
        <v>108</v>
      </c>
      <c r="G108" s="318"/>
      <c r="H108" s="318"/>
      <c r="I108" s="319">
        <f t="shared" si="17"/>
        <v>0</v>
      </c>
      <c r="J108" s="478">
        <f t="shared" si="18"/>
        <v>0</v>
      </c>
      <c r="K108" s="478">
        <f t="shared" si="19"/>
        <v>0</v>
      </c>
      <c r="L108" s="478"/>
    </row>
    <row r="109" spans="1:12" ht="15" x14ac:dyDescent="0.25">
      <c r="A109" s="320" t="s">
        <v>1172</v>
      </c>
      <c r="B109" s="305" t="s">
        <v>9</v>
      </c>
      <c r="C109" s="305">
        <v>71195</v>
      </c>
      <c r="D109" s="306" t="s">
        <v>1249</v>
      </c>
      <c r="E109" s="301">
        <f>'MEMÓRIA DE CÁLCULO'!D296</f>
        <v>21</v>
      </c>
      <c r="F109" s="305" t="s">
        <v>108</v>
      </c>
      <c r="G109" s="318"/>
      <c r="H109" s="318"/>
      <c r="I109" s="319">
        <f t="shared" si="17"/>
        <v>0</v>
      </c>
      <c r="J109" s="478">
        <f t="shared" si="18"/>
        <v>0</v>
      </c>
      <c r="K109" s="478">
        <f t="shared" si="19"/>
        <v>0</v>
      </c>
      <c r="L109" s="478"/>
    </row>
    <row r="110" spans="1:12" ht="15" x14ac:dyDescent="0.25">
      <c r="A110" s="320" t="s">
        <v>1173</v>
      </c>
      <c r="B110" s="305" t="s">
        <v>9</v>
      </c>
      <c r="C110" s="305">
        <v>71196</v>
      </c>
      <c r="D110" s="306" t="s">
        <v>1250</v>
      </c>
      <c r="E110" s="301">
        <f>'MEMÓRIA DE CÁLCULO'!D297</f>
        <v>64.2</v>
      </c>
      <c r="F110" s="305" t="s">
        <v>108</v>
      </c>
      <c r="G110" s="318"/>
      <c r="H110" s="318"/>
      <c r="I110" s="319">
        <f t="shared" si="17"/>
        <v>0</v>
      </c>
      <c r="J110" s="478">
        <f t="shared" si="18"/>
        <v>0</v>
      </c>
      <c r="K110" s="478">
        <f t="shared" si="19"/>
        <v>0</v>
      </c>
      <c r="L110" s="478"/>
    </row>
    <row r="111" spans="1:12" ht="15" x14ac:dyDescent="0.25">
      <c r="A111" s="320" t="s">
        <v>1174</v>
      </c>
      <c r="B111" s="305" t="s">
        <v>9</v>
      </c>
      <c r="C111" s="305">
        <v>71197</v>
      </c>
      <c r="D111" s="306" t="s">
        <v>1155</v>
      </c>
      <c r="E111" s="301">
        <f>'MEMÓRIA DE CÁLCULO'!D298</f>
        <v>54.9</v>
      </c>
      <c r="F111" s="305" t="s">
        <v>108</v>
      </c>
      <c r="G111" s="318"/>
      <c r="H111" s="318"/>
      <c r="I111" s="319">
        <f t="shared" si="17"/>
        <v>0</v>
      </c>
      <c r="J111" s="478">
        <f t="shared" si="18"/>
        <v>0</v>
      </c>
      <c r="K111" s="478">
        <f t="shared" si="19"/>
        <v>0</v>
      </c>
      <c r="L111" s="478"/>
    </row>
    <row r="112" spans="1:12" ht="15" x14ac:dyDescent="0.25">
      <c r="A112" s="320" t="s">
        <v>1175</v>
      </c>
      <c r="B112" s="305" t="s">
        <v>9</v>
      </c>
      <c r="C112" s="305">
        <v>71199</v>
      </c>
      <c r="D112" s="306" t="s">
        <v>1154</v>
      </c>
      <c r="E112" s="301">
        <f>'MEMÓRIA DE CÁLCULO'!D299</f>
        <v>74.5</v>
      </c>
      <c r="F112" s="305" t="s">
        <v>108</v>
      </c>
      <c r="G112" s="318"/>
      <c r="H112" s="318"/>
      <c r="I112" s="319">
        <f t="shared" si="17"/>
        <v>0</v>
      </c>
      <c r="J112" s="478">
        <f t="shared" si="18"/>
        <v>0</v>
      </c>
      <c r="K112" s="478">
        <f t="shared" si="19"/>
        <v>0</v>
      </c>
      <c r="L112" s="478"/>
    </row>
    <row r="113" spans="1:13" ht="15" x14ac:dyDescent="0.25">
      <c r="A113" s="320" t="s">
        <v>1176</v>
      </c>
      <c r="B113" s="305" t="s">
        <v>9</v>
      </c>
      <c r="C113" s="305">
        <v>71200</v>
      </c>
      <c r="D113" s="306" t="s">
        <v>1224</v>
      </c>
      <c r="E113" s="301">
        <f>'MEMÓRIA DE CÁLCULO'!D300</f>
        <v>2</v>
      </c>
      <c r="F113" s="305" t="s">
        <v>108</v>
      </c>
      <c r="G113" s="318"/>
      <c r="H113" s="318"/>
      <c r="I113" s="319">
        <f t="shared" si="17"/>
        <v>0</v>
      </c>
      <c r="J113" s="478">
        <f t="shared" si="18"/>
        <v>0</v>
      </c>
      <c r="K113" s="478">
        <f t="shared" si="19"/>
        <v>0</v>
      </c>
      <c r="L113" s="478"/>
    </row>
    <row r="114" spans="1:13" ht="15" x14ac:dyDescent="0.25">
      <c r="A114" s="320" t="s">
        <v>1177</v>
      </c>
      <c r="B114" s="305" t="s">
        <v>9</v>
      </c>
      <c r="C114" s="305">
        <v>70501</v>
      </c>
      <c r="D114" s="306" t="s">
        <v>1153</v>
      </c>
      <c r="E114" s="301">
        <f>'MEMÓRIA DE CÁLCULO'!D301</f>
        <v>4</v>
      </c>
      <c r="F114" s="305" t="s">
        <v>278</v>
      </c>
      <c r="G114" s="318"/>
      <c r="H114" s="318"/>
      <c r="I114" s="319">
        <f t="shared" si="17"/>
        <v>0</v>
      </c>
      <c r="J114" s="478">
        <f t="shared" si="18"/>
        <v>0</v>
      </c>
      <c r="K114" s="478">
        <f t="shared" si="19"/>
        <v>0</v>
      </c>
      <c r="L114" s="478"/>
    </row>
    <row r="115" spans="1:13" ht="15" x14ac:dyDescent="0.25">
      <c r="A115" s="320" t="s">
        <v>1178</v>
      </c>
      <c r="B115" s="305" t="s">
        <v>9</v>
      </c>
      <c r="C115" s="305">
        <v>70920</v>
      </c>
      <c r="D115" s="306" t="s">
        <v>1152</v>
      </c>
      <c r="E115" s="301">
        <f>'MEMÓRIA DE CÁLCULO'!D302</f>
        <v>6</v>
      </c>
      <c r="F115" s="305" t="s">
        <v>278</v>
      </c>
      <c r="G115" s="318"/>
      <c r="H115" s="318"/>
      <c r="I115" s="319">
        <f t="shared" si="17"/>
        <v>0</v>
      </c>
      <c r="J115" s="478">
        <f t="shared" si="18"/>
        <v>0</v>
      </c>
      <c r="K115" s="478">
        <f t="shared" si="19"/>
        <v>0</v>
      </c>
      <c r="L115" s="478"/>
    </row>
    <row r="116" spans="1:13" ht="15" x14ac:dyDescent="0.25">
      <c r="A116" s="320" t="s">
        <v>1179</v>
      </c>
      <c r="B116" s="305" t="s">
        <v>9</v>
      </c>
      <c r="C116" s="305">
        <v>70720</v>
      </c>
      <c r="D116" s="306" t="s">
        <v>1151</v>
      </c>
      <c r="E116" s="301">
        <f>'MEMÓRIA DE CÁLCULO'!D303</f>
        <v>1</v>
      </c>
      <c r="F116" s="305" t="s">
        <v>278</v>
      </c>
      <c r="G116" s="318"/>
      <c r="H116" s="318"/>
      <c r="I116" s="319">
        <f t="shared" si="17"/>
        <v>0</v>
      </c>
      <c r="J116" s="478">
        <f t="shared" si="18"/>
        <v>0</v>
      </c>
      <c r="K116" s="478">
        <f t="shared" si="19"/>
        <v>0</v>
      </c>
      <c r="L116" s="478">
        <f t="shared" si="3"/>
        <v>0</v>
      </c>
    </row>
    <row r="117" spans="1:13" ht="25.5" x14ac:dyDescent="0.25">
      <c r="A117" s="320" t="s">
        <v>1180</v>
      </c>
      <c r="B117" s="305" t="s">
        <v>9</v>
      </c>
      <c r="C117" s="305">
        <v>71617</v>
      </c>
      <c r="D117" s="306" t="s">
        <v>1225</v>
      </c>
      <c r="E117" s="301">
        <f>'MEMÓRIA DE CÁLCULO'!D304</f>
        <v>104</v>
      </c>
      <c r="F117" s="305" t="s">
        <v>278</v>
      </c>
      <c r="G117" s="318"/>
      <c r="H117" s="318"/>
      <c r="I117" s="319">
        <f t="shared" si="17"/>
        <v>0</v>
      </c>
      <c r="J117" s="478">
        <f t="shared" si="18"/>
        <v>0</v>
      </c>
      <c r="K117" s="478">
        <f t="shared" si="19"/>
        <v>0</v>
      </c>
      <c r="L117" s="478">
        <f t="shared" si="3"/>
        <v>0</v>
      </c>
    </row>
    <row r="118" spans="1:13" ht="15" x14ac:dyDescent="0.25">
      <c r="A118" s="320" t="s">
        <v>1181</v>
      </c>
      <c r="B118" s="305" t="s">
        <v>9</v>
      </c>
      <c r="C118" s="305">
        <v>71204</v>
      </c>
      <c r="D118" s="306" t="s">
        <v>1226</v>
      </c>
      <c r="E118" s="301">
        <f>'MEMÓRIA DE CÁLCULO'!D305</f>
        <v>1</v>
      </c>
      <c r="F118" s="305" t="s">
        <v>278</v>
      </c>
      <c r="G118" s="318"/>
      <c r="H118" s="318"/>
      <c r="I118" s="319">
        <f t="shared" si="17"/>
        <v>0</v>
      </c>
      <c r="J118" s="478">
        <f t="shared" si="18"/>
        <v>0</v>
      </c>
      <c r="K118" s="478">
        <f t="shared" si="19"/>
        <v>0</v>
      </c>
      <c r="L118" s="478">
        <f t="shared" si="3"/>
        <v>0</v>
      </c>
    </row>
    <row r="119" spans="1:13" s="94" customFormat="1" ht="25.5" x14ac:dyDescent="0.25">
      <c r="A119" s="320" t="s">
        <v>1181</v>
      </c>
      <c r="B119" s="305" t="s">
        <v>9</v>
      </c>
      <c r="C119" s="305">
        <v>71644</v>
      </c>
      <c r="D119" s="306" t="s">
        <v>1227</v>
      </c>
      <c r="E119" s="301">
        <f>'MEMÓRIA DE CÁLCULO'!D306</f>
        <v>6</v>
      </c>
      <c r="F119" s="305" t="s">
        <v>278</v>
      </c>
      <c r="G119" s="318"/>
      <c r="H119" s="318"/>
      <c r="I119" s="319">
        <f t="shared" ref="I119" si="22">(G119+H119)*E119</f>
        <v>0</v>
      </c>
      <c r="J119" s="478">
        <f t="shared" si="18"/>
        <v>0</v>
      </c>
      <c r="K119" s="478">
        <f t="shared" si="19"/>
        <v>0</v>
      </c>
      <c r="L119" s="478"/>
      <c r="M119" s="479"/>
    </row>
    <row r="120" spans="1:13" ht="25.5" x14ac:dyDescent="0.25">
      <c r="A120" s="320" t="s">
        <v>1182</v>
      </c>
      <c r="B120" s="305" t="s">
        <v>9</v>
      </c>
      <c r="C120" s="305">
        <v>71646</v>
      </c>
      <c r="D120" s="306" t="s">
        <v>1227</v>
      </c>
      <c r="E120" s="301">
        <f>'MEMÓRIA DE CÁLCULO'!D307</f>
        <v>54</v>
      </c>
      <c r="F120" s="305" t="s">
        <v>278</v>
      </c>
      <c r="G120" s="318"/>
      <c r="H120" s="318"/>
      <c r="I120" s="319">
        <f t="shared" si="17"/>
        <v>0</v>
      </c>
      <c r="J120" s="478">
        <f t="shared" si="18"/>
        <v>0</v>
      </c>
      <c r="K120" s="478">
        <f t="shared" si="19"/>
        <v>0</v>
      </c>
      <c r="L120" s="478">
        <f t="shared" si="3"/>
        <v>0</v>
      </c>
    </row>
    <row r="121" spans="1:13" ht="15" x14ac:dyDescent="0.25">
      <c r="A121" s="320" t="s">
        <v>1183</v>
      </c>
      <c r="B121" s="305" t="s">
        <v>9</v>
      </c>
      <c r="C121" s="305">
        <v>72252</v>
      </c>
      <c r="D121" s="306" t="s">
        <v>1228</v>
      </c>
      <c r="E121" s="301">
        <f>'MEMÓRIA DE CÁLCULO'!D308</f>
        <v>104</v>
      </c>
      <c r="F121" s="305" t="s">
        <v>278</v>
      </c>
      <c r="G121" s="318"/>
      <c r="H121" s="318"/>
      <c r="I121" s="319">
        <f t="shared" si="17"/>
        <v>0</v>
      </c>
      <c r="J121" s="478">
        <f t="shared" si="18"/>
        <v>0</v>
      </c>
      <c r="K121" s="478">
        <f t="shared" si="19"/>
        <v>0</v>
      </c>
      <c r="L121" s="478">
        <f t="shared" si="3"/>
        <v>0</v>
      </c>
    </row>
    <row r="122" spans="1:13" ht="15" x14ac:dyDescent="0.25">
      <c r="A122" s="320" t="s">
        <v>1184</v>
      </c>
      <c r="B122" s="305" t="s">
        <v>9</v>
      </c>
      <c r="C122" s="305">
        <v>71577</v>
      </c>
      <c r="D122" s="306" t="s">
        <v>1229</v>
      </c>
      <c r="E122" s="301">
        <f>'MEMÓRIA DE CÁLCULO'!D309</f>
        <v>90</v>
      </c>
      <c r="F122" s="305" t="s">
        <v>278</v>
      </c>
      <c r="G122" s="318"/>
      <c r="H122" s="318"/>
      <c r="I122" s="319">
        <f t="shared" si="17"/>
        <v>0</v>
      </c>
      <c r="J122" s="478">
        <f t="shared" si="18"/>
        <v>0</v>
      </c>
      <c r="K122" s="478">
        <f t="shared" si="19"/>
        <v>0</v>
      </c>
      <c r="L122" s="478">
        <f t="shared" si="3"/>
        <v>0</v>
      </c>
    </row>
    <row r="123" spans="1:13" ht="15" x14ac:dyDescent="0.25">
      <c r="A123" s="320" t="s">
        <v>1185</v>
      </c>
      <c r="B123" s="305" t="s">
        <v>9</v>
      </c>
      <c r="C123" s="305">
        <v>71536</v>
      </c>
      <c r="D123" s="306" t="s">
        <v>1230</v>
      </c>
      <c r="E123" s="301">
        <f>'MEMÓRIA DE CÁLCULO'!D310</f>
        <v>208</v>
      </c>
      <c r="F123" s="305" t="s">
        <v>278</v>
      </c>
      <c r="G123" s="318"/>
      <c r="H123" s="318"/>
      <c r="I123" s="319">
        <f t="shared" si="17"/>
        <v>0</v>
      </c>
      <c r="J123" s="478">
        <f t="shared" si="18"/>
        <v>0</v>
      </c>
      <c r="K123" s="478">
        <f t="shared" si="19"/>
        <v>0</v>
      </c>
      <c r="L123" s="478">
        <f t="shared" si="3"/>
        <v>0</v>
      </c>
    </row>
    <row r="124" spans="1:13" ht="15" x14ac:dyDescent="0.25">
      <c r="A124" s="320" t="s">
        <v>1186</v>
      </c>
      <c r="B124" s="305" t="s">
        <v>9</v>
      </c>
      <c r="C124" s="305">
        <v>71821</v>
      </c>
      <c r="D124" s="306" t="s">
        <v>1251</v>
      </c>
      <c r="E124" s="301">
        <f>'MEMÓRIA DE CÁLCULO'!D311</f>
        <v>1</v>
      </c>
      <c r="F124" s="305" t="s">
        <v>278</v>
      </c>
      <c r="G124" s="318"/>
      <c r="H124" s="318"/>
      <c r="I124" s="319">
        <f t="shared" si="17"/>
        <v>0</v>
      </c>
      <c r="J124" s="478">
        <f t="shared" si="18"/>
        <v>0</v>
      </c>
      <c r="K124" s="478">
        <f t="shared" si="19"/>
        <v>0</v>
      </c>
      <c r="L124" s="478">
        <f t="shared" si="3"/>
        <v>0</v>
      </c>
    </row>
    <row r="125" spans="1:13" ht="15" x14ac:dyDescent="0.25">
      <c r="A125" s="320" t="s">
        <v>1187</v>
      </c>
      <c r="B125" s="305" t="s">
        <v>9</v>
      </c>
      <c r="C125" s="305">
        <v>71615</v>
      </c>
      <c r="D125" s="306" t="s">
        <v>1231</v>
      </c>
      <c r="E125" s="301">
        <f>'MEMÓRIA DE CÁLCULO'!D312</f>
        <v>27</v>
      </c>
      <c r="F125" s="305" t="s">
        <v>278</v>
      </c>
      <c r="G125" s="318"/>
      <c r="H125" s="318"/>
      <c r="I125" s="319">
        <f t="shared" si="17"/>
        <v>0</v>
      </c>
      <c r="J125" s="478">
        <f t="shared" si="18"/>
        <v>0</v>
      </c>
      <c r="K125" s="478">
        <f t="shared" si="19"/>
        <v>0</v>
      </c>
      <c r="L125" s="478">
        <f t="shared" si="3"/>
        <v>0</v>
      </c>
    </row>
    <row r="126" spans="1:13" ht="15" x14ac:dyDescent="0.25">
      <c r="A126" s="320" t="s">
        <v>1188</v>
      </c>
      <c r="B126" s="305" t="s">
        <v>9</v>
      </c>
      <c r="C126" s="305">
        <v>95781</v>
      </c>
      <c r="D126" s="306" t="str">
        <f>'MEMÓRIA DE CÁLCULO'!B313</f>
        <v>CAIXA DE PASSAGEM METÁLICA DE EMBUTIR 20X20X10 CM</v>
      </c>
      <c r="E126" s="301">
        <f>'MEMÓRIA DE CÁLCULO'!D313</f>
        <v>1</v>
      </c>
      <c r="F126" s="305" t="s">
        <v>278</v>
      </c>
      <c r="G126" s="318"/>
      <c r="H126" s="318"/>
      <c r="I126" s="319">
        <f t="shared" si="17"/>
        <v>0</v>
      </c>
      <c r="J126" s="478">
        <f t="shared" si="18"/>
        <v>0</v>
      </c>
      <c r="K126" s="478">
        <f t="shared" si="19"/>
        <v>0</v>
      </c>
      <c r="L126" s="478">
        <f t="shared" si="3"/>
        <v>0</v>
      </c>
    </row>
    <row r="127" spans="1:13" ht="15" x14ac:dyDescent="0.25">
      <c r="A127" s="320" t="s">
        <v>1189</v>
      </c>
      <c r="B127" s="305" t="s">
        <v>9</v>
      </c>
      <c r="C127" s="305">
        <v>70390</v>
      </c>
      <c r="D127" s="306" t="s">
        <v>1232</v>
      </c>
      <c r="E127" s="301">
        <f>'MEMÓRIA DE CÁLCULO'!D314</f>
        <v>2</v>
      </c>
      <c r="F127" s="305" t="s">
        <v>278</v>
      </c>
      <c r="G127" s="318"/>
      <c r="H127" s="318"/>
      <c r="I127" s="319">
        <f t="shared" si="17"/>
        <v>0</v>
      </c>
      <c r="J127" s="478">
        <f t="shared" si="18"/>
        <v>0</v>
      </c>
      <c r="K127" s="478">
        <f t="shared" si="19"/>
        <v>0</v>
      </c>
      <c r="L127" s="478"/>
    </row>
    <row r="128" spans="1:13" ht="15" x14ac:dyDescent="0.25">
      <c r="A128" s="320" t="s">
        <v>1190</v>
      </c>
      <c r="B128" s="305" t="s">
        <v>9</v>
      </c>
      <c r="C128" s="305">
        <v>71860</v>
      </c>
      <c r="D128" s="306" t="s">
        <v>1233</v>
      </c>
      <c r="E128" s="301">
        <f>'MEMÓRIA DE CÁLCULO'!D315</f>
        <v>2</v>
      </c>
      <c r="F128" s="305" t="s">
        <v>278</v>
      </c>
      <c r="G128" s="318"/>
      <c r="H128" s="318"/>
      <c r="I128" s="319">
        <f t="shared" si="17"/>
        <v>0</v>
      </c>
      <c r="J128" s="478">
        <f t="shared" si="18"/>
        <v>0</v>
      </c>
      <c r="K128" s="478">
        <f t="shared" si="19"/>
        <v>0</v>
      </c>
      <c r="L128" s="478"/>
    </row>
    <row r="129" spans="1:13" ht="15" x14ac:dyDescent="0.25">
      <c r="A129" s="320" t="s">
        <v>1191</v>
      </c>
      <c r="B129" s="305" t="s">
        <v>9</v>
      </c>
      <c r="C129" s="305">
        <v>72556</v>
      </c>
      <c r="D129" s="306" t="s">
        <v>1234</v>
      </c>
      <c r="E129" s="301">
        <f>'MEMÓRIA DE CÁLCULO'!D316</f>
        <v>21</v>
      </c>
      <c r="F129" s="305" t="s">
        <v>108</v>
      </c>
      <c r="G129" s="318"/>
      <c r="H129" s="318"/>
      <c r="I129" s="319">
        <f t="shared" si="17"/>
        <v>0</v>
      </c>
      <c r="J129" s="478">
        <f t="shared" si="18"/>
        <v>0</v>
      </c>
      <c r="K129" s="478">
        <f t="shared" si="19"/>
        <v>0</v>
      </c>
      <c r="L129" s="478"/>
    </row>
    <row r="130" spans="1:13" ht="15" x14ac:dyDescent="0.25">
      <c r="A130" s="320" t="s">
        <v>1192</v>
      </c>
      <c r="B130" s="305" t="s">
        <v>9</v>
      </c>
      <c r="C130" s="305">
        <v>72591</v>
      </c>
      <c r="D130" s="306" t="s">
        <v>1235</v>
      </c>
      <c r="E130" s="301">
        <f>'MEMÓRIA DE CÁLCULO'!D317</f>
        <v>28</v>
      </c>
      <c r="F130" s="305" t="s">
        <v>108</v>
      </c>
      <c r="G130" s="318"/>
      <c r="H130" s="318"/>
      <c r="I130" s="319">
        <f t="shared" si="17"/>
        <v>0</v>
      </c>
      <c r="J130" s="478">
        <f t="shared" si="18"/>
        <v>0</v>
      </c>
      <c r="K130" s="478">
        <f t="shared" si="19"/>
        <v>0</v>
      </c>
      <c r="L130" s="478"/>
    </row>
    <row r="131" spans="1:13" ht="15" x14ac:dyDescent="0.25">
      <c r="A131" s="320" t="s">
        <v>1193</v>
      </c>
      <c r="B131" s="305" t="s">
        <v>9</v>
      </c>
      <c r="C131" s="305">
        <v>72190</v>
      </c>
      <c r="D131" s="306" t="s">
        <v>1236</v>
      </c>
      <c r="E131" s="301">
        <f>'MEMÓRIA DE CÁLCULO'!D318</f>
        <v>3</v>
      </c>
      <c r="F131" s="305" t="s">
        <v>278</v>
      </c>
      <c r="G131" s="318"/>
      <c r="H131" s="318"/>
      <c r="I131" s="319">
        <f t="shared" si="17"/>
        <v>0</v>
      </c>
      <c r="J131" s="478">
        <f t="shared" si="18"/>
        <v>0</v>
      </c>
      <c r="K131" s="478">
        <f t="shared" si="19"/>
        <v>0</v>
      </c>
      <c r="L131" s="478"/>
    </row>
    <row r="132" spans="1:13" ht="15" x14ac:dyDescent="0.25">
      <c r="A132" s="320" t="s">
        <v>1194</v>
      </c>
      <c r="B132" s="305" t="s">
        <v>9</v>
      </c>
      <c r="C132" s="305">
        <v>71186</v>
      </c>
      <c r="D132" s="306" t="s">
        <v>1238</v>
      </c>
      <c r="E132" s="301">
        <f>'MEMÓRIA DE CÁLCULO'!D319</f>
        <v>15</v>
      </c>
      <c r="F132" s="305" t="s">
        <v>278</v>
      </c>
      <c r="G132" s="318"/>
      <c r="H132" s="318"/>
      <c r="I132" s="319">
        <f t="shared" si="17"/>
        <v>0</v>
      </c>
      <c r="J132" s="478">
        <f t="shared" si="18"/>
        <v>0</v>
      </c>
      <c r="K132" s="478">
        <f t="shared" si="19"/>
        <v>0</v>
      </c>
      <c r="L132" s="478"/>
    </row>
    <row r="133" spans="1:13" ht="15" x14ac:dyDescent="0.25">
      <c r="A133" s="320" t="s">
        <v>1195</v>
      </c>
      <c r="B133" s="305" t="s">
        <v>9</v>
      </c>
      <c r="C133" s="305">
        <v>71480</v>
      </c>
      <c r="D133" s="306" t="s">
        <v>1240</v>
      </c>
      <c r="E133" s="301">
        <f>'MEMÓRIA DE CÁLCULO'!D320</f>
        <v>8</v>
      </c>
      <c r="F133" s="305" t="s">
        <v>278</v>
      </c>
      <c r="G133" s="318"/>
      <c r="H133" s="318"/>
      <c r="I133" s="319">
        <f t="shared" si="17"/>
        <v>0</v>
      </c>
      <c r="J133" s="478">
        <f t="shared" si="18"/>
        <v>0</v>
      </c>
      <c r="K133" s="478">
        <f t="shared" si="19"/>
        <v>0</v>
      </c>
      <c r="L133" s="478"/>
    </row>
    <row r="134" spans="1:13" ht="15" x14ac:dyDescent="0.25">
      <c r="A134" s="320" t="s">
        <v>1196</v>
      </c>
      <c r="B134" s="305" t="s">
        <v>9</v>
      </c>
      <c r="C134" s="305">
        <v>71391</v>
      </c>
      <c r="D134" s="306" t="s">
        <v>1241</v>
      </c>
      <c r="E134" s="301">
        <f>'MEMÓRIA DE CÁLCULO'!D321</f>
        <v>4</v>
      </c>
      <c r="F134" s="305" t="s">
        <v>278</v>
      </c>
      <c r="G134" s="318"/>
      <c r="H134" s="318"/>
      <c r="I134" s="319">
        <f t="shared" si="17"/>
        <v>0</v>
      </c>
      <c r="J134" s="478">
        <f t="shared" si="18"/>
        <v>0</v>
      </c>
      <c r="K134" s="478">
        <f t="shared" si="19"/>
        <v>0</v>
      </c>
      <c r="L134" s="478"/>
    </row>
    <row r="135" spans="1:13" ht="15" x14ac:dyDescent="0.25">
      <c r="A135" s="320" t="s">
        <v>1197</v>
      </c>
      <c r="B135" s="305" t="s">
        <v>9</v>
      </c>
      <c r="C135" s="305">
        <v>70626</v>
      </c>
      <c r="D135" s="306" t="s">
        <v>1242</v>
      </c>
      <c r="E135" s="301">
        <f>'MEMÓRIA DE CÁLCULO'!D322</f>
        <v>205.8</v>
      </c>
      <c r="F135" s="305" t="s">
        <v>108</v>
      </c>
      <c r="G135" s="318"/>
      <c r="H135" s="318"/>
      <c r="I135" s="319">
        <f t="shared" ref="I135:I137" si="23">(G135+H135)*E135</f>
        <v>0</v>
      </c>
      <c r="J135" s="478">
        <f t="shared" si="18"/>
        <v>0</v>
      </c>
      <c r="K135" s="478">
        <f t="shared" si="19"/>
        <v>0</v>
      </c>
      <c r="L135" s="478"/>
    </row>
    <row r="136" spans="1:13" ht="15" x14ac:dyDescent="0.25">
      <c r="A136" s="320" t="s">
        <v>1198</v>
      </c>
      <c r="B136" s="305" t="s">
        <v>9</v>
      </c>
      <c r="C136" s="305">
        <v>70611</v>
      </c>
      <c r="D136" s="306" t="s">
        <v>1243</v>
      </c>
      <c r="E136" s="301">
        <f>'MEMÓRIA DE CÁLCULO'!D323</f>
        <v>205.8</v>
      </c>
      <c r="F136" s="305" t="s">
        <v>108</v>
      </c>
      <c r="G136" s="318"/>
      <c r="H136" s="318"/>
      <c r="I136" s="319">
        <f t="shared" si="23"/>
        <v>0</v>
      </c>
      <c r="J136" s="478">
        <f t="shared" si="18"/>
        <v>0</v>
      </c>
      <c r="K136" s="478">
        <f t="shared" si="19"/>
        <v>0</v>
      </c>
      <c r="L136" s="478"/>
    </row>
    <row r="137" spans="1:13" ht="25.5" x14ac:dyDescent="0.25">
      <c r="A137" s="326" t="s">
        <v>1199</v>
      </c>
      <c r="B137" s="327" t="s">
        <v>44</v>
      </c>
      <c r="C137" s="327">
        <v>97589</v>
      </c>
      <c r="D137" s="328" t="s">
        <v>1244</v>
      </c>
      <c r="E137" s="329">
        <f>'MEMÓRIA DE CÁLCULO'!D324</f>
        <v>30</v>
      </c>
      <c r="F137" s="327" t="s">
        <v>278</v>
      </c>
      <c r="G137" s="339"/>
      <c r="H137" s="339"/>
      <c r="I137" s="331">
        <f t="shared" si="23"/>
        <v>0</v>
      </c>
      <c r="J137" s="478">
        <f t="shared" si="18"/>
        <v>0</v>
      </c>
      <c r="K137" s="478">
        <f t="shared" si="19"/>
        <v>0</v>
      </c>
      <c r="L137" s="478"/>
    </row>
    <row r="138" spans="1:13" thickBot="1" x14ac:dyDescent="0.3">
      <c r="A138" s="326" t="s">
        <v>1200</v>
      </c>
      <c r="B138" s="327" t="s">
        <v>44</v>
      </c>
      <c r="C138" s="327">
        <v>97590</v>
      </c>
      <c r="D138" s="328" t="str">
        <f>'MEMÓRIA DE CÁLCULO'!B325</f>
        <v>REFLETOR HOLOFOTE LED 10W A PROVA D'ÁGUA A PROVA IP66 - BRANCO FRIO 6000 K</v>
      </c>
      <c r="E138" s="329">
        <f>'MEMÓRIA DE CÁLCULO'!D325</f>
        <v>16</v>
      </c>
      <c r="F138" s="327" t="s">
        <v>278</v>
      </c>
      <c r="G138" s="339"/>
      <c r="H138" s="339"/>
      <c r="I138" s="331">
        <f t="shared" ref="I138" si="24">(G138+H138)*E138</f>
        <v>0</v>
      </c>
      <c r="J138" s="478">
        <f t="shared" si="18"/>
        <v>0</v>
      </c>
      <c r="K138" s="478">
        <f t="shared" si="19"/>
        <v>0</v>
      </c>
      <c r="L138" s="478"/>
    </row>
    <row r="139" spans="1:13" thickBot="1" x14ac:dyDescent="0.3">
      <c r="A139" s="492" t="s">
        <v>310</v>
      </c>
      <c r="B139" s="493"/>
      <c r="C139" s="493"/>
      <c r="D139" s="493"/>
      <c r="E139" s="493"/>
      <c r="F139" s="493"/>
      <c r="G139" s="493"/>
      <c r="H139" s="493"/>
      <c r="I139" s="315">
        <f>ROUND(SUM(I71:I138),2)</f>
        <v>0</v>
      </c>
      <c r="J139" s="478">
        <f t="shared" si="18"/>
        <v>0</v>
      </c>
      <c r="K139" s="478">
        <f t="shared" si="19"/>
        <v>0</v>
      </c>
      <c r="L139" s="478">
        <f t="shared" ref="L139:L188" si="25">K139+J139</f>
        <v>0</v>
      </c>
    </row>
    <row r="140" spans="1:13" thickBot="1" x14ac:dyDescent="0.3">
      <c r="A140" s="290" t="s">
        <v>2</v>
      </c>
      <c r="B140" s="290" t="s">
        <v>301</v>
      </c>
      <c r="C140" s="290" t="s">
        <v>302</v>
      </c>
      <c r="D140" s="316" t="s">
        <v>3</v>
      </c>
      <c r="E140" s="290" t="s">
        <v>4</v>
      </c>
      <c r="F140" s="290" t="s">
        <v>5</v>
      </c>
      <c r="G140" s="290" t="s">
        <v>6</v>
      </c>
      <c r="H140" s="290" t="s">
        <v>7</v>
      </c>
      <c r="I140" s="314" t="s">
        <v>8</v>
      </c>
      <c r="L140" s="478"/>
    </row>
    <row r="141" spans="1:13" ht="15" x14ac:dyDescent="0.25">
      <c r="A141" s="296">
        <v>7</v>
      </c>
      <c r="B141" s="297" t="s">
        <v>21</v>
      </c>
      <c r="C141" s="297">
        <v>80000</v>
      </c>
      <c r="D141" s="488" t="s">
        <v>26</v>
      </c>
      <c r="E141" s="488"/>
      <c r="F141" s="488"/>
      <c r="G141" s="488"/>
      <c r="H141" s="488"/>
      <c r="I141" s="489"/>
      <c r="J141" s="478">
        <f t="shared" si="18"/>
        <v>0</v>
      </c>
      <c r="K141" s="478">
        <f t="shared" si="19"/>
        <v>0</v>
      </c>
      <c r="L141" s="478">
        <f t="shared" si="25"/>
        <v>0</v>
      </c>
    </row>
    <row r="142" spans="1:13" customFormat="1" ht="15" x14ac:dyDescent="0.25">
      <c r="A142" s="340" t="s">
        <v>109</v>
      </c>
      <c r="B142" s="341" t="s">
        <v>9</v>
      </c>
      <c r="C142" s="341">
        <v>80500</v>
      </c>
      <c r="D142" s="342" t="str">
        <f>'MEMÓRIA DE CÁLCULO'!B328</f>
        <v>L O U C A S E M E T A I S</v>
      </c>
      <c r="E142" s="343"/>
      <c r="F142" s="341"/>
      <c r="G142" s="344"/>
      <c r="H142" s="344"/>
      <c r="I142" s="345"/>
      <c r="J142" s="478">
        <f t="shared" si="18"/>
        <v>0</v>
      </c>
      <c r="K142" s="478">
        <f t="shared" si="19"/>
        <v>0</v>
      </c>
      <c r="L142" s="482">
        <f t="shared" si="25"/>
        <v>0</v>
      </c>
      <c r="M142" s="480"/>
    </row>
    <row r="143" spans="1:13" customFormat="1" ht="15" x14ac:dyDescent="0.25">
      <c r="A143" s="340" t="s">
        <v>110</v>
      </c>
      <c r="B143" s="341" t="s">
        <v>9</v>
      </c>
      <c r="C143" s="341">
        <v>80501</v>
      </c>
      <c r="D143" s="342" t="str">
        <f>'MEMÓRIA DE CÁLCULO'!B329</f>
        <v>V A S O S A N I T A R I O / A C E S S O R I O S</v>
      </c>
      <c r="E143" s="343"/>
      <c r="F143" s="341"/>
      <c r="G143" s="344"/>
      <c r="H143" s="344"/>
      <c r="I143" s="345"/>
      <c r="J143" s="478">
        <f t="shared" si="18"/>
        <v>0</v>
      </c>
      <c r="K143" s="478">
        <f t="shared" si="19"/>
        <v>0</v>
      </c>
      <c r="L143" s="482">
        <f t="shared" si="25"/>
        <v>0</v>
      </c>
      <c r="M143" s="480"/>
    </row>
    <row r="144" spans="1:13" customFormat="1" ht="25.5" x14ac:dyDescent="0.25">
      <c r="A144" s="340" t="s">
        <v>111</v>
      </c>
      <c r="B144" s="341" t="s">
        <v>9</v>
      </c>
      <c r="C144" s="341">
        <v>80504</v>
      </c>
      <c r="D144" s="342" t="str">
        <f>'MEMÓRIA DE CÁLCULO'!B330</f>
        <v>VASO SANITÁRIO COM CAIXA ACOPLADA COM DUPLO ACIONAMENTO - COMPLETO EXCLUSO O ASSENTO</v>
      </c>
      <c r="E144" s="343">
        <f>'MEMÓRIA DE CÁLCULO'!D330</f>
        <v>17</v>
      </c>
      <c r="F144" s="341" t="s">
        <v>278</v>
      </c>
      <c r="G144" s="344"/>
      <c r="H144" s="344"/>
      <c r="I144" s="345">
        <f>(G144+H144)*E144</f>
        <v>0</v>
      </c>
      <c r="J144" s="478">
        <f t="shared" ref="J144:J207" si="26">G144*E144</f>
        <v>0</v>
      </c>
      <c r="K144" s="478">
        <f t="shared" ref="K144:K207" si="27">H144*E144</f>
        <v>0</v>
      </c>
      <c r="L144" s="482">
        <f t="shared" si="25"/>
        <v>0</v>
      </c>
      <c r="M144" s="480"/>
    </row>
    <row r="145" spans="1:13" customFormat="1" ht="15" x14ac:dyDescent="0.25">
      <c r="A145" s="340" t="s">
        <v>1381</v>
      </c>
      <c r="B145" s="341" t="s">
        <v>9</v>
      </c>
      <c r="C145" s="341">
        <v>80526</v>
      </c>
      <c r="D145" s="342" t="str">
        <f>'MEMÓRIA DE CÁLCULO'!B331</f>
        <v xml:space="preserve">ASSENTO EM POLIPROPILENO COM SISTEMA DE FECHAMENTO SUAVE PARA VASO SANITÁRIO </v>
      </c>
      <c r="E145" s="343">
        <f>'MEMÓRIA DE CÁLCULO'!D331</f>
        <v>17</v>
      </c>
      <c r="F145" s="341" t="s">
        <v>278</v>
      </c>
      <c r="G145" s="344"/>
      <c r="H145" s="344"/>
      <c r="I145" s="345">
        <f t="shared" ref="I145:I247" si="28">(G145+H145)*E145</f>
        <v>0</v>
      </c>
      <c r="J145" s="478">
        <f t="shared" si="26"/>
        <v>0</v>
      </c>
      <c r="K145" s="478">
        <f t="shared" si="27"/>
        <v>0</v>
      </c>
      <c r="L145" s="482">
        <f t="shared" si="25"/>
        <v>0</v>
      </c>
      <c r="M145" s="480"/>
    </row>
    <row r="146" spans="1:13" customFormat="1" ht="15" x14ac:dyDescent="0.25">
      <c r="A146" s="340" t="s">
        <v>1382</v>
      </c>
      <c r="B146" s="341" t="s">
        <v>9</v>
      </c>
      <c r="C146" s="341">
        <v>80532</v>
      </c>
      <c r="D146" s="342" t="str">
        <f>'MEMÓRIA DE CÁLCULO'!B332</f>
        <v xml:space="preserve">PORTA PAPEL HIGIÊNICO EM METAL/ACABAMENTO CROMADO </v>
      </c>
      <c r="E146" s="343">
        <f>'MEMÓRIA DE CÁLCULO'!D332</f>
        <v>17</v>
      </c>
      <c r="F146" s="341" t="s">
        <v>278</v>
      </c>
      <c r="G146" s="344"/>
      <c r="H146" s="344"/>
      <c r="I146" s="345">
        <f t="shared" si="28"/>
        <v>0</v>
      </c>
      <c r="J146" s="478">
        <f t="shared" si="26"/>
        <v>0</v>
      </c>
      <c r="K146" s="478">
        <f t="shared" si="27"/>
        <v>0</v>
      </c>
      <c r="L146" s="482">
        <f t="shared" si="25"/>
        <v>0</v>
      </c>
      <c r="M146" s="480"/>
    </row>
    <row r="147" spans="1:13" customFormat="1" ht="15" x14ac:dyDescent="0.25">
      <c r="A147" s="340" t="s">
        <v>113</v>
      </c>
      <c r="B147" s="341" t="s">
        <v>9</v>
      </c>
      <c r="C147" s="341">
        <v>80540</v>
      </c>
      <c r="D147" s="342" t="str">
        <f>'MEMÓRIA DE CÁLCULO'!B333</f>
        <v>L A V A T O R I O / A C E S S O R I O S</v>
      </c>
      <c r="E147" s="343"/>
      <c r="F147" s="341"/>
      <c r="G147" s="344"/>
      <c r="H147" s="344"/>
      <c r="I147" s="345"/>
      <c r="J147" s="478">
        <f t="shared" si="26"/>
        <v>0</v>
      </c>
      <c r="K147" s="478">
        <f t="shared" si="27"/>
        <v>0</v>
      </c>
      <c r="L147" s="482">
        <f t="shared" si="25"/>
        <v>0</v>
      </c>
      <c r="M147" s="480"/>
    </row>
    <row r="148" spans="1:13" customFormat="1" ht="15" x14ac:dyDescent="0.25">
      <c r="A148" s="340" t="s">
        <v>114</v>
      </c>
      <c r="B148" s="341" t="s">
        <v>9</v>
      </c>
      <c r="C148" s="341">
        <v>80541</v>
      </c>
      <c r="D148" s="342" t="str">
        <f>'MEMÓRIA DE CÁLCULO'!B334</f>
        <v>LAVATÓRIO MÉDIO COM COLUNA</v>
      </c>
      <c r="E148" s="343">
        <f>'MEMÓRIA DE CÁLCULO'!D334</f>
        <v>9</v>
      </c>
      <c r="F148" s="341" t="s">
        <v>278</v>
      </c>
      <c r="G148" s="344"/>
      <c r="H148" s="344"/>
      <c r="I148" s="345">
        <f t="shared" si="28"/>
        <v>0</v>
      </c>
      <c r="J148" s="478">
        <f t="shared" si="26"/>
        <v>0</v>
      </c>
      <c r="K148" s="478">
        <f t="shared" si="27"/>
        <v>0</v>
      </c>
      <c r="L148" s="482">
        <f t="shared" si="25"/>
        <v>0</v>
      </c>
      <c r="M148" s="480"/>
    </row>
    <row r="149" spans="1:13" customFormat="1" ht="15" x14ac:dyDescent="0.25">
      <c r="A149" s="340" t="s">
        <v>115</v>
      </c>
      <c r="B149" s="341" t="s">
        <v>9</v>
      </c>
      <c r="C149" s="341">
        <v>80543</v>
      </c>
      <c r="D149" s="342" t="str">
        <f>'MEMÓRIA DE CÁLCULO'!B335</f>
        <v>LAVATÓRIO DE CANTO SEM COLUNA</v>
      </c>
      <c r="E149" s="343">
        <f>'MEMÓRIA DE CÁLCULO'!D335</f>
        <v>7</v>
      </c>
      <c r="F149" s="341" t="s">
        <v>278</v>
      </c>
      <c r="G149" s="344"/>
      <c r="H149" s="344"/>
      <c r="I149" s="345">
        <f t="shared" si="28"/>
        <v>0</v>
      </c>
      <c r="J149" s="478">
        <f t="shared" si="26"/>
        <v>0</v>
      </c>
      <c r="K149" s="478">
        <f t="shared" si="27"/>
        <v>0</v>
      </c>
      <c r="L149" s="482">
        <f t="shared" si="25"/>
        <v>0</v>
      </c>
      <c r="M149" s="480"/>
    </row>
    <row r="150" spans="1:13" customFormat="1" ht="15" x14ac:dyDescent="0.25">
      <c r="A150" s="340" t="s">
        <v>116</v>
      </c>
      <c r="B150" s="341" t="s">
        <v>9</v>
      </c>
      <c r="C150" s="341">
        <v>80556</v>
      </c>
      <c r="D150" s="342" t="str">
        <f>'MEMÓRIA DE CÁLCULO'!B336</f>
        <v>LIGAÇÃO FLEXÍVEL PVC DIAM.1/2" (ENGATE)</v>
      </c>
      <c r="E150" s="343">
        <f>'MEMÓRIA DE CÁLCULO'!D336</f>
        <v>50</v>
      </c>
      <c r="F150" s="341" t="s">
        <v>278</v>
      </c>
      <c r="G150" s="344"/>
      <c r="H150" s="344"/>
      <c r="I150" s="345">
        <f t="shared" si="28"/>
        <v>0</v>
      </c>
      <c r="J150" s="478">
        <f t="shared" si="26"/>
        <v>0</v>
      </c>
      <c r="K150" s="478">
        <f t="shared" si="27"/>
        <v>0</v>
      </c>
      <c r="L150" s="482">
        <f t="shared" si="25"/>
        <v>0</v>
      </c>
      <c r="M150" s="480"/>
    </row>
    <row r="151" spans="1:13" customFormat="1" ht="15" x14ac:dyDescent="0.25">
      <c r="A151" s="340" t="s">
        <v>117</v>
      </c>
      <c r="B151" s="341" t="s">
        <v>9</v>
      </c>
      <c r="C151" s="341">
        <v>80550</v>
      </c>
      <c r="D151" s="342" t="str">
        <f>'MEMÓRIA DE CÁLCULO'!B337</f>
        <v>FIXACAO P/LAVATORIO (PAR)</v>
      </c>
      <c r="E151" s="343">
        <f>'MEMÓRIA DE CÁLCULO'!D337</f>
        <v>16</v>
      </c>
      <c r="F151" s="341" t="s">
        <v>452</v>
      </c>
      <c r="G151" s="344"/>
      <c r="H151" s="344"/>
      <c r="I151" s="345">
        <f t="shared" si="28"/>
        <v>0</v>
      </c>
      <c r="J151" s="478">
        <f t="shared" si="26"/>
        <v>0</v>
      </c>
      <c r="K151" s="478">
        <f t="shared" si="27"/>
        <v>0</v>
      </c>
      <c r="L151" s="482">
        <f t="shared" si="25"/>
        <v>0</v>
      </c>
      <c r="M151" s="480"/>
    </row>
    <row r="152" spans="1:13" customFormat="1" ht="15" x14ac:dyDescent="0.25">
      <c r="A152" s="340" t="s">
        <v>1383</v>
      </c>
      <c r="B152" s="341" t="s">
        <v>9</v>
      </c>
      <c r="C152" s="341">
        <v>80561</v>
      </c>
      <c r="D152" s="342" t="str">
        <f>'MEMÓRIA DE CÁLCULO'!B338</f>
        <v>SIFAO P/LAVATORIO PVC DIAM.1"X1.1/2"</v>
      </c>
      <c r="E152" s="343">
        <f>'MEMÓRIA DE CÁLCULO'!D338</f>
        <v>27</v>
      </c>
      <c r="F152" s="341" t="s">
        <v>278</v>
      </c>
      <c r="G152" s="344"/>
      <c r="H152" s="344"/>
      <c r="I152" s="345">
        <f t="shared" ref="I152" si="29">(G152+H152)*E152</f>
        <v>0</v>
      </c>
      <c r="J152" s="478">
        <f t="shared" si="26"/>
        <v>0</v>
      </c>
      <c r="K152" s="478">
        <f t="shared" si="27"/>
        <v>0</v>
      </c>
      <c r="L152" s="482">
        <f t="shared" ref="L152" si="30">K152+J152</f>
        <v>0</v>
      </c>
      <c r="M152" s="480"/>
    </row>
    <row r="153" spans="1:13" customFormat="1" ht="15" x14ac:dyDescent="0.25">
      <c r="A153" s="340" t="s">
        <v>118</v>
      </c>
      <c r="B153" s="341" t="s">
        <v>9</v>
      </c>
      <c r="C153" s="341">
        <v>80562</v>
      </c>
      <c r="D153" s="342" t="str">
        <f>'MEMÓRIA DE CÁLCULO'!B339</f>
        <v>SIFAO PVC P/PIA 1.1/2" X 2"</v>
      </c>
      <c r="E153" s="343">
        <f>'MEMÓRIA DE CÁLCULO'!D339</f>
        <v>23</v>
      </c>
      <c r="F153" s="341" t="s">
        <v>278</v>
      </c>
      <c r="G153" s="344"/>
      <c r="H153" s="344"/>
      <c r="I153" s="345">
        <f t="shared" si="28"/>
        <v>0</v>
      </c>
      <c r="J153" s="478">
        <f t="shared" si="26"/>
        <v>0</v>
      </c>
      <c r="K153" s="478">
        <f t="shared" si="27"/>
        <v>0</v>
      </c>
      <c r="L153" s="482">
        <f t="shared" si="25"/>
        <v>0</v>
      </c>
      <c r="M153" s="480"/>
    </row>
    <row r="154" spans="1:13" customFormat="1" ht="15" x14ac:dyDescent="0.25">
      <c r="A154" s="340" t="s">
        <v>119</v>
      </c>
      <c r="B154" s="341" t="s">
        <v>9</v>
      </c>
      <c r="C154" s="341">
        <v>80570</v>
      </c>
      <c r="D154" s="342" t="str">
        <f>'MEMÓRIA DE CÁLCULO'!B340</f>
        <v xml:space="preserve">TORNEIRA DE MESA PARA LAVATÓRIO DIÂMETRO DE 1/2" </v>
      </c>
      <c r="E154" s="343">
        <f>'MEMÓRIA DE CÁLCULO'!D340</f>
        <v>27</v>
      </c>
      <c r="F154" s="341" t="s">
        <v>278</v>
      </c>
      <c r="G154" s="344"/>
      <c r="H154" s="344"/>
      <c r="I154" s="345">
        <f t="shared" si="28"/>
        <v>0</v>
      </c>
      <c r="J154" s="478">
        <f t="shared" si="26"/>
        <v>0</v>
      </c>
      <c r="K154" s="478">
        <f t="shared" si="27"/>
        <v>0</v>
      </c>
      <c r="L154" s="482">
        <f t="shared" si="25"/>
        <v>0</v>
      </c>
      <c r="M154" s="480"/>
    </row>
    <row r="155" spans="1:13" customFormat="1" ht="15" x14ac:dyDescent="0.25">
      <c r="A155" s="340" t="s">
        <v>120</v>
      </c>
      <c r="B155" s="341" t="s">
        <v>9</v>
      </c>
      <c r="C155" s="341">
        <v>80580</v>
      </c>
      <c r="D155" s="342" t="str">
        <f>'MEMÓRIA DE CÁLCULO'!B341</f>
        <v>VALVULA P/LAVATORIO OU BEBEDOURO METALICO DIAMETRO 1"</v>
      </c>
      <c r="E155" s="343">
        <f>'MEMÓRIA DE CÁLCULO'!D341</f>
        <v>32</v>
      </c>
      <c r="F155" s="341" t="s">
        <v>278</v>
      </c>
      <c r="G155" s="344"/>
      <c r="H155" s="344"/>
      <c r="I155" s="345">
        <f t="shared" si="28"/>
        <v>0</v>
      </c>
      <c r="J155" s="478">
        <f t="shared" si="26"/>
        <v>0</v>
      </c>
      <c r="K155" s="478">
        <f t="shared" si="27"/>
        <v>0</v>
      </c>
      <c r="L155" s="482">
        <f t="shared" si="25"/>
        <v>0</v>
      </c>
      <c r="M155" s="480"/>
    </row>
    <row r="156" spans="1:13" customFormat="1" ht="25.5" x14ac:dyDescent="0.25">
      <c r="A156" s="340" t="s">
        <v>121</v>
      </c>
      <c r="B156" s="341" t="s">
        <v>44</v>
      </c>
      <c r="C156" s="341">
        <v>86877</v>
      </c>
      <c r="D156" s="342" t="str">
        <f>'MEMÓRIA DE CÁLCULO'!B342</f>
        <v>VÁLVULA EM METAL CROMADO 1.1/2 X 1.1/2 PARA TANQUE OU LAVATÓRIO, COM OU SEM LADRÃO - FORNECIMENTO E INSTALAÇÃO. AF_01/2020</v>
      </c>
      <c r="E156" s="343">
        <f>'MEMÓRIA DE CÁLCULO'!D342</f>
        <v>4</v>
      </c>
      <c r="F156" s="341" t="s">
        <v>278</v>
      </c>
      <c r="G156" s="504"/>
      <c r="H156" s="505"/>
      <c r="I156" s="345">
        <f t="shared" ref="I156" si="31">(G156+H156)*E156</f>
        <v>0</v>
      </c>
      <c r="J156" s="478">
        <f t="shared" si="26"/>
        <v>0</v>
      </c>
      <c r="K156" s="478">
        <f t="shared" si="27"/>
        <v>0</v>
      </c>
      <c r="L156" s="482">
        <f t="shared" ref="L156" si="32">K156+J156</f>
        <v>0</v>
      </c>
      <c r="M156" s="480"/>
    </row>
    <row r="157" spans="1:13" customFormat="1" ht="15" x14ac:dyDescent="0.25">
      <c r="A157" s="340" t="s">
        <v>122</v>
      </c>
      <c r="B157" s="341" t="s">
        <v>9</v>
      </c>
      <c r="C157" s="341">
        <v>80680</v>
      </c>
      <c r="D157" s="342" t="s">
        <v>1256</v>
      </c>
      <c r="E157" s="343">
        <f>'MEMÓRIA DE CÁLCULO'!D343</f>
        <v>11</v>
      </c>
      <c r="F157" s="341" t="s">
        <v>278</v>
      </c>
      <c r="G157" s="344"/>
      <c r="H157" s="344"/>
      <c r="I157" s="345">
        <f t="shared" ref="I157" si="33">(G157+H157)*E157</f>
        <v>0</v>
      </c>
      <c r="J157" s="478">
        <f t="shared" si="26"/>
        <v>0</v>
      </c>
      <c r="K157" s="478">
        <f t="shared" si="27"/>
        <v>0</v>
      </c>
      <c r="L157" s="482"/>
      <c r="M157" s="480"/>
    </row>
    <row r="158" spans="1:13" customFormat="1" ht="15" x14ac:dyDescent="0.25">
      <c r="A158" s="340" t="s">
        <v>123</v>
      </c>
      <c r="B158" s="341" t="s">
        <v>9</v>
      </c>
      <c r="C158" s="341">
        <v>80587</v>
      </c>
      <c r="D158" s="342" t="str">
        <f>'MEMÓRIA DE CÁLCULO'!B343</f>
        <v>CUBA DE LOUÇA DE EMBUTIR REDONDA</v>
      </c>
      <c r="E158" s="343">
        <f>'MEMÓRIA DE CÁLCULO'!D343</f>
        <v>11</v>
      </c>
      <c r="F158" s="341" t="s">
        <v>278</v>
      </c>
      <c r="G158" s="344"/>
      <c r="H158" s="344"/>
      <c r="I158" s="345">
        <f t="shared" si="28"/>
        <v>0</v>
      </c>
      <c r="J158" s="478">
        <f t="shared" si="26"/>
        <v>0</v>
      </c>
      <c r="K158" s="478">
        <f t="shared" si="27"/>
        <v>0</v>
      </c>
      <c r="L158" s="482">
        <f t="shared" si="25"/>
        <v>0</v>
      </c>
      <c r="M158" s="480"/>
    </row>
    <row r="159" spans="1:13" customFormat="1" ht="15" x14ac:dyDescent="0.25">
      <c r="A159" s="340" t="s">
        <v>124</v>
      </c>
      <c r="B159" s="341" t="s">
        <v>9</v>
      </c>
      <c r="C159" s="341">
        <v>80686</v>
      </c>
      <c r="D159" s="342" t="str">
        <f>'MEMÓRIA DE CÁLCULO'!B344</f>
        <v>CUBA INOX 56X34X17CM E=0,6MM-AÇO 304 (CUBA Nº2)</v>
      </c>
      <c r="E159" s="343">
        <f>'MEMÓRIA DE CÁLCULO'!D344</f>
        <v>21</v>
      </c>
      <c r="F159" s="341" t="s">
        <v>278</v>
      </c>
      <c r="G159" s="344"/>
      <c r="H159" s="344"/>
      <c r="I159" s="345">
        <f>(H159+G159)*E159</f>
        <v>0</v>
      </c>
      <c r="J159" s="478">
        <f t="shared" si="26"/>
        <v>0</v>
      </c>
      <c r="K159" s="478">
        <f t="shared" si="27"/>
        <v>0</v>
      </c>
      <c r="L159" s="482"/>
      <c r="M159" s="480"/>
    </row>
    <row r="160" spans="1:13" customFormat="1" ht="15" x14ac:dyDescent="0.25">
      <c r="A160" s="340" t="s">
        <v>125</v>
      </c>
      <c r="B160" s="341" t="s">
        <v>9</v>
      </c>
      <c r="C160" s="341">
        <v>80689</v>
      </c>
      <c r="D160" s="342" t="str">
        <f>'MEMÓRIA DE CÁLCULO'!B345</f>
        <v>CUBA INOX 50X40X20CM E=0,7MM-AÇO 304</v>
      </c>
      <c r="E160" s="343">
        <f>'MEMÓRIA DE CÁLCULO'!D345</f>
        <v>2</v>
      </c>
      <c r="F160" s="341" t="s">
        <v>278</v>
      </c>
      <c r="G160" s="344"/>
      <c r="H160" s="344"/>
      <c r="I160" s="345">
        <f>(H160+G160)*E160</f>
        <v>0</v>
      </c>
      <c r="J160" s="478">
        <f t="shared" si="26"/>
        <v>0</v>
      </c>
      <c r="K160" s="478">
        <f t="shared" si="27"/>
        <v>0</v>
      </c>
      <c r="L160" s="482">
        <f t="shared" ref="L160" si="34">K160+J160</f>
        <v>0</v>
      </c>
      <c r="M160" s="480"/>
    </row>
    <row r="161" spans="1:13" customFormat="1" ht="15" x14ac:dyDescent="0.25">
      <c r="A161" s="340" t="s">
        <v>126</v>
      </c>
      <c r="B161" s="341" t="s">
        <v>9</v>
      </c>
      <c r="C161" s="341">
        <v>80693</v>
      </c>
      <c r="D161" s="342" t="str">
        <f>'MEMÓRIA DE CÁLCULO'!B346</f>
        <v>TANQUE (PANELAO) INOX 60 X 70 X 40 CM CH.18</v>
      </c>
      <c r="E161" s="343">
        <f>'MEMÓRIA DE CÁLCULO'!D346</f>
        <v>4</v>
      </c>
      <c r="F161" s="341" t="s">
        <v>278</v>
      </c>
      <c r="G161" s="344"/>
      <c r="H161" s="344"/>
      <c r="I161" s="345">
        <f>(H161+G161)*E161</f>
        <v>0</v>
      </c>
      <c r="J161" s="478">
        <f t="shared" si="26"/>
        <v>0</v>
      </c>
      <c r="K161" s="478">
        <f t="shared" si="27"/>
        <v>0</v>
      </c>
      <c r="L161" s="482"/>
      <c r="M161" s="480"/>
    </row>
    <row r="162" spans="1:13" customFormat="1" ht="15" x14ac:dyDescent="0.25">
      <c r="A162" s="340" t="s">
        <v>127</v>
      </c>
      <c r="B162" s="341" t="s">
        <v>9</v>
      </c>
      <c r="C162" s="341">
        <v>80600</v>
      </c>
      <c r="D162" s="342" t="str">
        <f>'MEMÓRIA DE CÁLCULO'!B348</f>
        <v>M I C T O R I O/A C E S S O R I O S</v>
      </c>
      <c r="E162" s="343"/>
      <c r="F162" s="341"/>
      <c r="G162" s="344"/>
      <c r="H162" s="344"/>
      <c r="I162" s="345"/>
      <c r="J162" s="478">
        <f t="shared" si="26"/>
        <v>0</v>
      </c>
      <c r="K162" s="478">
        <f t="shared" si="27"/>
        <v>0</v>
      </c>
      <c r="L162" s="482">
        <f t="shared" ref="L162" si="35">K162+J162</f>
        <v>0</v>
      </c>
      <c r="M162" s="480"/>
    </row>
    <row r="163" spans="1:13" customFormat="1" ht="15" x14ac:dyDescent="0.25">
      <c r="A163" s="340" t="s">
        <v>128</v>
      </c>
      <c r="B163" s="341" t="s">
        <v>9</v>
      </c>
      <c r="C163" s="341">
        <v>80601</v>
      </c>
      <c r="D163" s="342" t="str">
        <f>'MEMÓRIA DE CÁLCULO'!B349</f>
        <v>MICTORIO DE LOUCA C/SIFAO INTEGRADO</v>
      </c>
      <c r="E163" s="343">
        <f>'MEMÓRIA DE CÁLCULO'!D349</f>
        <v>2</v>
      </c>
      <c r="F163" s="341" t="s">
        <v>278</v>
      </c>
      <c r="G163" s="344"/>
      <c r="H163" s="344"/>
      <c r="I163" s="345">
        <f t="shared" si="28"/>
        <v>0</v>
      </c>
      <c r="J163" s="478">
        <f t="shared" si="26"/>
        <v>0</v>
      </c>
      <c r="K163" s="478">
        <f t="shared" si="27"/>
        <v>0</v>
      </c>
      <c r="L163" s="482">
        <f t="shared" si="25"/>
        <v>0</v>
      </c>
      <c r="M163" s="480"/>
    </row>
    <row r="164" spans="1:13" customFormat="1" ht="15" x14ac:dyDescent="0.25">
      <c r="A164" s="340" t="s">
        <v>129</v>
      </c>
      <c r="B164" s="341" t="s">
        <v>9</v>
      </c>
      <c r="C164" s="341">
        <v>80610</v>
      </c>
      <c r="D164" s="342" t="str">
        <f>'MEMÓRIA DE CÁLCULO'!B350</f>
        <v>KIT FERR.P/MICT.LOUCA (ESPUDE,CONEXÃO ENTR.PARAFUSOS)</v>
      </c>
      <c r="E164" s="343">
        <f>'MEMÓRIA DE CÁLCULO'!D350</f>
        <v>2</v>
      </c>
      <c r="F164" s="341" t="s">
        <v>278</v>
      </c>
      <c r="G164" s="344"/>
      <c r="H164" s="344"/>
      <c r="I164" s="345">
        <f t="shared" si="28"/>
        <v>0</v>
      </c>
      <c r="J164" s="478">
        <f t="shared" si="26"/>
        <v>0</v>
      </c>
      <c r="K164" s="478">
        <f t="shared" si="27"/>
        <v>0</v>
      </c>
      <c r="L164" s="482">
        <f t="shared" si="25"/>
        <v>0</v>
      </c>
      <c r="M164" s="480"/>
    </row>
    <row r="165" spans="1:13" customFormat="1" ht="25.5" x14ac:dyDescent="0.25">
      <c r="A165" s="340" t="s">
        <v>130</v>
      </c>
      <c r="B165" s="341" t="s">
        <v>9</v>
      </c>
      <c r="C165" s="341">
        <v>80621</v>
      </c>
      <c r="D165" s="342" t="str">
        <f>'MEMÓRIA DE CÁLCULO'!B351</f>
        <v>VÁLVULA DE DESCARGA PARA MICTÓRIO DIÂMETRO 1/2" FECHAMENTO AUTOMÁTICO TEMPORIZADO</v>
      </c>
      <c r="E165" s="343">
        <f>'MEMÓRIA DE CÁLCULO'!D351</f>
        <v>2</v>
      </c>
      <c r="F165" s="341" t="s">
        <v>278</v>
      </c>
      <c r="G165" s="344"/>
      <c r="H165" s="344"/>
      <c r="I165" s="345">
        <f t="shared" si="28"/>
        <v>0</v>
      </c>
      <c r="J165" s="478">
        <f t="shared" si="26"/>
        <v>0</v>
      </c>
      <c r="K165" s="478">
        <f t="shared" si="27"/>
        <v>0</v>
      </c>
      <c r="L165" s="482">
        <f t="shared" si="25"/>
        <v>0</v>
      </c>
      <c r="M165" s="480"/>
    </row>
    <row r="166" spans="1:13" customFormat="1" ht="15" x14ac:dyDescent="0.25">
      <c r="A166" s="340" t="s">
        <v>131</v>
      </c>
      <c r="B166" s="341" t="s">
        <v>9</v>
      </c>
      <c r="C166" s="346">
        <v>80650</v>
      </c>
      <c r="D166" s="342" t="str">
        <f>'MEMÓRIA DE CÁLCULO'!B352</f>
        <v>P I A / A C E S S O R I O S</v>
      </c>
      <c r="E166" s="343"/>
      <c r="F166" s="347"/>
      <c r="G166" s="348"/>
      <c r="H166" s="349"/>
      <c r="I166" s="345"/>
      <c r="J166" s="478">
        <f t="shared" si="26"/>
        <v>0</v>
      </c>
      <c r="K166" s="478">
        <f t="shared" si="27"/>
        <v>0</v>
      </c>
      <c r="L166" s="482"/>
      <c r="M166" s="480"/>
    </row>
    <row r="167" spans="1:13" customFormat="1" ht="15" x14ac:dyDescent="0.25">
      <c r="A167" s="340" t="s">
        <v>1384</v>
      </c>
      <c r="B167" s="341" t="s">
        <v>9</v>
      </c>
      <c r="C167" s="341">
        <v>80656</v>
      </c>
      <c r="D167" s="342" t="str">
        <f>'MEMÓRIA DE CÁLCULO'!B353</f>
        <v xml:space="preserve">TORNEIRA DE MESA PARA PIA DIÂMETRO DE 1/2" - BICA MÓVEL </v>
      </c>
      <c r="E167" s="343">
        <f>'MEMÓRIA DE CÁLCULO'!D353</f>
        <v>22</v>
      </c>
      <c r="F167" s="341" t="s">
        <v>278</v>
      </c>
      <c r="G167" s="344"/>
      <c r="H167" s="344"/>
      <c r="I167" s="345">
        <f t="shared" si="28"/>
        <v>0</v>
      </c>
      <c r="J167" s="478">
        <f t="shared" si="26"/>
        <v>0</v>
      </c>
      <c r="K167" s="478">
        <f t="shared" si="27"/>
        <v>0</v>
      </c>
      <c r="L167" s="482">
        <f t="shared" si="25"/>
        <v>0</v>
      </c>
      <c r="M167" s="480"/>
    </row>
    <row r="168" spans="1:13" s="85" customFormat="1" ht="15" x14ac:dyDescent="0.25">
      <c r="A168" s="340" t="s">
        <v>132</v>
      </c>
      <c r="B168" s="341" t="s">
        <v>9</v>
      </c>
      <c r="C168" s="341">
        <v>80720</v>
      </c>
      <c r="D168" s="342" t="str">
        <f>'MEMÓRIA DE CÁLCULO'!B354</f>
        <v>F I L T R O / C H U V E I R O</v>
      </c>
      <c r="E168" s="343"/>
      <c r="F168" s="341"/>
      <c r="G168" s="344"/>
      <c r="H168" s="344"/>
      <c r="I168" s="345"/>
      <c r="J168" s="478">
        <f t="shared" si="26"/>
        <v>0</v>
      </c>
      <c r="K168" s="478">
        <f t="shared" si="27"/>
        <v>0</v>
      </c>
      <c r="L168" s="483"/>
      <c r="M168" s="484"/>
    </row>
    <row r="169" spans="1:13" s="85" customFormat="1" ht="15" x14ac:dyDescent="0.25">
      <c r="A169" s="340" t="s">
        <v>133</v>
      </c>
      <c r="B169" s="341" t="s">
        <v>9</v>
      </c>
      <c r="C169" s="341">
        <v>80721</v>
      </c>
      <c r="D169" s="342" t="str">
        <f>'MEMÓRIA DE CÁLCULO'!B355</f>
        <v>CHUVEIRO ELÉTRICO EM PVC COM BRAÇO METÁLICO</v>
      </c>
      <c r="E169" s="343">
        <f>'MEMÓRIA DE CÁLCULO'!D355</f>
        <v>10</v>
      </c>
      <c r="F169" s="341" t="s">
        <v>278</v>
      </c>
      <c r="G169" s="344"/>
      <c r="H169" s="344"/>
      <c r="I169" s="345">
        <f t="shared" si="28"/>
        <v>0</v>
      </c>
      <c r="J169" s="478">
        <f t="shared" si="26"/>
        <v>0</v>
      </c>
      <c r="K169" s="478">
        <f t="shared" si="27"/>
        <v>0</v>
      </c>
      <c r="L169" s="483">
        <f t="shared" si="25"/>
        <v>0</v>
      </c>
      <c r="M169" s="484"/>
    </row>
    <row r="170" spans="1:13" customFormat="1" ht="15" x14ac:dyDescent="0.25">
      <c r="A170" s="340" t="s">
        <v>134</v>
      </c>
      <c r="B170" s="341" t="s">
        <v>9</v>
      </c>
      <c r="C170" s="350">
        <v>80800</v>
      </c>
      <c r="D170" s="342" t="str">
        <f>'MEMÓRIA DE CÁLCULO'!B356</f>
        <v>T A N Q U E S / T O R N E I R A S  J A R D I M S</v>
      </c>
      <c r="E170" s="343"/>
      <c r="F170" s="341"/>
      <c r="G170" s="348"/>
      <c r="H170" s="348"/>
      <c r="I170" s="345"/>
      <c r="J170" s="478">
        <f t="shared" si="26"/>
        <v>0</v>
      </c>
      <c r="K170" s="478">
        <f t="shared" si="27"/>
        <v>0</v>
      </c>
      <c r="L170" s="482"/>
      <c r="M170" s="480"/>
    </row>
    <row r="171" spans="1:13" customFormat="1" ht="15" x14ac:dyDescent="0.25">
      <c r="A171" s="340" t="s">
        <v>135</v>
      </c>
      <c r="B171" s="341" t="s">
        <v>9</v>
      </c>
      <c r="C171" s="350">
        <v>80811</v>
      </c>
      <c r="D171" s="342" t="str">
        <f>'MEMÓRIA DE CÁLCULO'!B357</f>
        <v xml:space="preserve">TORNEIRA DE JARDIM COM BICO PARA MANGUEIRA DIÂMETRO DE 1/2" E 3/4" </v>
      </c>
      <c r="E171" s="343">
        <f>'MEMÓRIA DE CÁLCULO'!D357</f>
        <v>5</v>
      </c>
      <c r="F171" s="341" t="s">
        <v>278</v>
      </c>
      <c r="G171" s="348"/>
      <c r="H171" s="348"/>
      <c r="I171" s="345">
        <f t="shared" si="28"/>
        <v>0</v>
      </c>
      <c r="J171" s="478">
        <f t="shared" si="26"/>
        <v>0</v>
      </c>
      <c r="K171" s="478">
        <f t="shared" si="27"/>
        <v>0</v>
      </c>
      <c r="L171" s="482">
        <f t="shared" si="25"/>
        <v>0</v>
      </c>
      <c r="M171" s="480"/>
    </row>
    <row r="172" spans="1:13" customFormat="1" ht="15" x14ac:dyDescent="0.25">
      <c r="A172" s="340" t="s">
        <v>136</v>
      </c>
      <c r="B172" s="341" t="s">
        <v>9</v>
      </c>
      <c r="C172" s="350">
        <v>80810</v>
      </c>
      <c r="D172" s="342" t="str">
        <f>'MEMÓRIA DE CÁLCULO'!B358</f>
        <v>TORNEIRA DE PAREDE PARA TANQUE COM AREJADOR DIÂMETRO DE 1/2" E 3/4"</v>
      </c>
      <c r="E172" s="343">
        <f>'MEMÓRIA DE CÁLCULO'!D358</f>
        <v>4</v>
      </c>
      <c r="F172" s="341" t="s">
        <v>278</v>
      </c>
      <c r="G172" s="348"/>
      <c r="H172" s="348"/>
      <c r="I172" s="345">
        <f t="shared" si="28"/>
        <v>0</v>
      </c>
      <c r="J172" s="478">
        <f t="shared" si="26"/>
        <v>0</v>
      </c>
      <c r="K172" s="478">
        <f t="shared" si="27"/>
        <v>0</v>
      </c>
      <c r="L172" s="482">
        <f t="shared" si="25"/>
        <v>0</v>
      </c>
      <c r="M172" s="480"/>
    </row>
    <row r="173" spans="1:13" customFormat="1" ht="15" x14ac:dyDescent="0.25">
      <c r="A173" s="340" t="s">
        <v>137</v>
      </c>
      <c r="B173" s="341" t="s">
        <v>9</v>
      </c>
      <c r="C173" s="341">
        <v>80900</v>
      </c>
      <c r="D173" s="342" t="str">
        <f>'MEMÓRIA DE CÁLCULO'!B359</f>
        <v>R E G I S T R O S</v>
      </c>
      <c r="E173" s="343"/>
      <c r="F173" s="341"/>
      <c r="G173" s="344"/>
      <c r="H173" s="344"/>
      <c r="I173" s="345"/>
      <c r="J173" s="478">
        <f t="shared" si="26"/>
        <v>0</v>
      </c>
      <c r="K173" s="478">
        <f t="shared" si="27"/>
        <v>0</v>
      </c>
      <c r="L173" s="482"/>
      <c r="M173" s="480"/>
    </row>
    <row r="174" spans="1:13" customFormat="1" ht="15" x14ac:dyDescent="0.25">
      <c r="A174" s="340" t="s">
        <v>138</v>
      </c>
      <c r="B174" s="341" t="s">
        <v>9</v>
      </c>
      <c r="C174" s="350">
        <v>80902</v>
      </c>
      <c r="D174" s="342" t="str">
        <f>'MEMÓRIA DE CÁLCULO'!B360</f>
        <v xml:space="preserve">REGISTRO DE GAVETA BRUTO DIAMETRO 3/4" </v>
      </c>
      <c r="E174" s="343">
        <f>'MEMÓRIA DE CÁLCULO'!D360</f>
        <v>7</v>
      </c>
      <c r="F174" s="341" t="s">
        <v>278</v>
      </c>
      <c r="G174" s="348"/>
      <c r="H174" s="348"/>
      <c r="I174" s="345">
        <f t="shared" si="28"/>
        <v>0</v>
      </c>
      <c r="J174" s="478">
        <f t="shared" si="26"/>
        <v>0</v>
      </c>
      <c r="K174" s="478">
        <f t="shared" si="27"/>
        <v>0</v>
      </c>
      <c r="L174" s="482">
        <f t="shared" si="25"/>
        <v>0</v>
      </c>
      <c r="M174" s="480"/>
    </row>
    <row r="175" spans="1:13" customFormat="1" ht="15" x14ac:dyDescent="0.25">
      <c r="A175" s="340" t="s">
        <v>139</v>
      </c>
      <c r="B175" s="341" t="s">
        <v>9</v>
      </c>
      <c r="C175" s="350">
        <v>80904</v>
      </c>
      <c r="D175" s="342" t="str">
        <f>'MEMÓRIA DE CÁLCULO'!B361</f>
        <v>REGISTRO DE GAVETA BRUTO DIAMETRO 1.1/4"</v>
      </c>
      <c r="E175" s="343">
        <f>'MEMÓRIA DE CÁLCULO'!D361</f>
        <v>13</v>
      </c>
      <c r="F175" s="341" t="s">
        <v>278</v>
      </c>
      <c r="G175" s="348"/>
      <c r="H175" s="348"/>
      <c r="I175" s="345">
        <f t="shared" si="28"/>
        <v>0</v>
      </c>
      <c r="J175" s="478">
        <f t="shared" si="26"/>
        <v>0</v>
      </c>
      <c r="K175" s="478">
        <f t="shared" si="27"/>
        <v>0</v>
      </c>
      <c r="L175" s="482">
        <f t="shared" si="25"/>
        <v>0</v>
      </c>
      <c r="M175" s="480"/>
    </row>
    <row r="176" spans="1:13" customFormat="1" ht="15" x14ac:dyDescent="0.25">
      <c r="A176" s="340" t="s">
        <v>140</v>
      </c>
      <c r="B176" s="341" t="s">
        <v>9</v>
      </c>
      <c r="C176" s="350">
        <v>80905</v>
      </c>
      <c r="D176" s="342" t="str">
        <f>'MEMÓRIA DE CÁLCULO'!B362</f>
        <v>REGISTRO DE GAVETA BRUTO DIAMETRO 1.1/2"</v>
      </c>
      <c r="E176" s="343">
        <f>'MEMÓRIA DE CÁLCULO'!D362</f>
        <v>1</v>
      </c>
      <c r="F176" s="341" t="s">
        <v>278</v>
      </c>
      <c r="G176" s="348"/>
      <c r="H176" s="348"/>
      <c r="I176" s="345">
        <f t="shared" si="28"/>
        <v>0</v>
      </c>
      <c r="J176" s="478">
        <f t="shared" si="26"/>
        <v>0</v>
      </c>
      <c r="K176" s="478">
        <f t="shared" si="27"/>
        <v>0</v>
      </c>
      <c r="L176" s="482">
        <f t="shared" si="25"/>
        <v>0</v>
      </c>
      <c r="M176" s="480"/>
    </row>
    <row r="177" spans="1:13" customFormat="1" ht="15.75" customHeight="1" x14ac:dyDescent="0.25">
      <c r="A177" s="340" t="s">
        <v>141</v>
      </c>
      <c r="B177" s="341" t="s">
        <v>9</v>
      </c>
      <c r="C177" s="350">
        <v>80926</v>
      </c>
      <c r="D177" s="342" t="str">
        <f>'MEMÓRIA DE CÁLCULO'!B363</f>
        <v>REGISTRO DE GAVETA C/CANOPLA DIAMETRO 3/4"</v>
      </c>
      <c r="E177" s="343">
        <f>'MEMÓRIA DE CÁLCULO'!D363</f>
        <v>22</v>
      </c>
      <c r="F177" s="341" t="s">
        <v>278</v>
      </c>
      <c r="G177" s="348"/>
      <c r="H177" s="348"/>
      <c r="I177" s="345">
        <f t="shared" si="28"/>
        <v>0</v>
      </c>
      <c r="J177" s="478">
        <f t="shared" si="26"/>
        <v>0</v>
      </c>
      <c r="K177" s="478">
        <f t="shared" si="27"/>
        <v>0</v>
      </c>
      <c r="L177" s="482">
        <f t="shared" si="25"/>
        <v>0</v>
      </c>
      <c r="M177" s="480"/>
    </row>
    <row r="178" spans="1:13" customFormat="1" ht="15.75" customHeight="1" x14ac:dyDescent="0.25">
      <c r="A178" s="340" t="s">
        <v>142</v>
      </c>
      <c r="B178" s="341" t="s">
        <v>9</v>
      </c>
      <c r="C178" s="341">
        <v>80903</v>
      </c>
      <c r="D178" s="342" t="str">
        <f>'MEMÓRIA DE CÁLCULO'!B364</f>
        <v>REGISTRO DE GAVETA C/CANOPLA DIAMETRO 1"</v>
      </c>
      <c r="E178" s="343">
        <f>'MEMÓRIA DE CÁLCULO'!D364</f>
        <v>7</v>
      </c>
      <c r="F178" s="341" t="s">
        <v>278</v>
      </c>
      <c r="G178" s="344"/>
      <c r="H178" s="344"/>
      <c r="I178" s="345">
        <f t="shared" si="28"/>
        <v>0</v>
      </c>
      <c r="J178" s="478">
        <f t="shared" si="26"/>
        <v>0</v>
      </c>
      <c r="K178" s="478">
        <f t="shared" si="27"/>
        <v>0</v>
      </c>
      <c r="L178" s="482">
        <f t="shared" si="25"/>
        <v>0</v>
      </c>
      <c r="M178" s="480"/>
    </row>
    <row r="179" spans="1:13" customFormat="1" ht="15.75" customHeight="1" x14ac:dyDescent="0.25">
      <c r="A179" s="340" t="s">
        <v>143</v>
      </c>
      <c r="B179" s="341" t="s">
        <v>9</v>
      </c>
      <c r="C179" s="341">
        <v>80946</v>
      </c>
      <c r="D179" s="342" t="str">
        <f>'MEMÓRIA DE CÁLCULO'!B365</f>
        <v>REGISTRO DE PRESSAO C/CANOPLA CROMADA DIAM.3/4"</v>
      </c>
      <c r="E179" s="343">
        <f>'MEMÓRIA DE CÁLCULO'!D365</f>
        <v>20</v>
      </c>
      <c r="F179" s="341" t="s">
        <v>278</v>
      </c>
      <c r="G179" s="344"/>
      <c r="H179" s="344"/>
      <c r="I179" s="345">
        <f t="shared" si="28"/>
        <v>0</v>
      </c>
      <c r="J179" s="478">
        <f t="shared" si="26"/>
        <v>0</v>
      </c>
      <c r="K179" s="478">
        <f t="shared" si="27"/>
        <v>0</v>
      </c>
      <c r="L179" s="482">
        <f t="shared" si="25"/>
        <v>0</v>
      </c>
      <c r="M179" s="480"/>
    </row>
    <row r="180" spans="1:13" customFormat="1" ht="15" x14ac:dyDescent="0.25">
      <c r="A180" s="340" t="s">
        <v>144</v>
      </c>
      <c r="B180" s="341" t="s">
        <v>9</v>
      </c>
      <c r="C180" s="350">
        <v>81000</v>
      </c>
      <c r="D180" s="342" t="str">
        <f>'MEMÓRIA DE CÁLCULO'!B366</f>
        <v>AGUA FRIA</v>
      </c>
      <c r="E180" s="343"/>
      <c r="F180" s="350"/>
      <c r="G180" s="348"/>
      <c r="H180" s="348"/>
      <c r="I180" s="345"/>
      <c r="J180" s="478">
        <f t="shared" si="26"/>
        <v>0</v>
      </c>
      <c r="K180" s="478">
        <f t="shared" si="27"/>
        <v>0</v>
      </c>
      <c r="L180" s="482"/>
      <c r="M180" s="480"/>
    </row>
    <row r="181" spans="1:13" customFormat="1" ht="15" x14ac:dyDescent="0.25">
      <c r="A181" s="340" t="s">
        <v>145</v>
      </c>
      <c r="B181" s="341" t="s">
        <v>9</v>
      </c>
      <c r="C181" s="350">
        <v>81001</v>
      </c>
      <c r="D181" s="342" t="str">
        <f>'MEMÓRIA DE CÁLCULO'!B367</f>
        <v>T U B O S DE P V C S O L D A V E L</v>
      </c>
      <c r="E181" s="343"/>
      <c r="F181" s="350"/>
      <c r="G181" s="348"/>
      <c r="H181" s="348"/>
      <c r="I181" s="345"/>
      <c r="J181" s="478">
        <f t="shared" si="26"/>
        <v>0</v>
      </c>
      <c r="K181" s="478">
        <f t="shared" si="27"/>
        <v>0</v>
      </c>
      <c r="L181" s="482"/>
      <c r="M181" s="480"/>
    </row>
    <row r="182" spans="1:13" customFormat="1" ht="15" x14ac:dyDescent="0.25">
      <c r="A182" s="340" t="s">
        <v>146</v>
      </c>
      <c r="B182" s="341" t="s">
        <v>9</v>
      </c>
      <c r="C182" s="350">
        <v>81003</v>
      </c>
      <c r="D182" s="342" t="str">
        <f>'MEMÓRIA DE CÁLCULO'!B368</f>
        <v xml:space="preserve">TUBO SOLDAVEL PVC MARROM DIAMETRO 25 mm </v>
      </c>
      <c r="E182" s="343">
        <f>'MEMÓRIA DE CÁLCULO'!D368</f>
        <v>474.37</v>
      </c>
      <c r="F182" s="350" t="s">
        <v>108</v>
      </c>
      <c r="G182" s="348"/>
      <c r="H182" s="348"/>
      <c r="I182" s="345">
        <f t="shared" si="28"/>
        <v>0</v>
      </c>
      <c r="J182" s="478">
        <f t="shared" si="26"/>
        <v>0</v>
      </c>
      <c r="K182" s="478">
        <f t="shared" si="27"/>
        <v>0</v>
      </c>
      <c r="L182" s="482">
        <f t="shared" si="25"/>
        <v>0</v>
      </c>
      <c r="M182" s="480"/>
    </row>
    <row r="183" spans="1:13" customFormat="1" ht="15.75" customHeight="1" x14ac:dyDescent="0.25">
      <c r="A183" s="340" t="s">
        <v>1385</v>
      </c>
      <c r="B183" s="341" t="s">
        <v>9</v>
      </c>
      <c r="C183" s="350">
        <v>81004</v>
      </c>
      <c r="D183" s="342" t="str">
        <f>'MEMÓRIA DE CÁLCULO'!B369</f>
        <v xml:space="preserve">TUBO SOLDAVEL PVC MARROM DIAMETRO 32 mm </v>
      </c>
      <c r="E183" s="343">
        <f>'MEMÓRIA DE CÁLCULO'!D369</f>
        <v>253.65</v>
      </c>
      <c r="F183" s="350" t="s">
        <v>108</v>
      </c>
      <c r="G183" s="348"/>
      <c r="H183" s="348"/>
      <c r="I183" s="345">
        <f t="shared" si="28"/>
        <v>0</v>
      </c>
      <c r="J183" s="478">
        <f t="shared" si="26"/>
        <v>0</v>
      </c>
      <c r="K183" s="478">
        <f t="shared" si="27"/>
        <v>0</v>
      </c>
      <c r="L183" s="482">
        <f t="shared" si="25"/>
        <v>0</v>
      </c>
      <c r="M183" s="480"/>
    </row>
    <row r="184" spans="1:13" customFormat="1" ht="15.75" customHeight="1" x14ac:dyDescent="0.25">
      <c r="A184" s="340" t="s">
        <v>147</v>
      </c>
      <c r="B184" s="341" t="s">
        <v>9</v>
      </c>
      <c r="C184" s="350">
        <v>81005</v>
      </c>
      <c r="D184" s="342" t="str">
        <f>'MEMÓRIA DE CÁLCULO'!B370</f>
        <v>TUBO SOLDAVEL PVC MARROM DIAM.40 mm</v>
      </c>
      <c r="E184" s="343">
        <f>'MEMÓRIA DE CÁLCULO'!D370</f>
        <v>135.44</v>
      </c>
      <c r="F184" s="350" t="s">
        <v>108</v>
      </c>
      <c r="G184" s="348"/>
      <c r="H184" s="348"/>
      <c r="I184" s="345">
        <f t="shared" si="28"/>
        <v>0</v>
      </c>
      <c r="J184" s="478">
        <f t="shared" si="26"/>
        <v>0</v>
      </c>
      <c r="K184" s="478">
        <f t="shared" si="27"/>
        <v>0</v>
      </c>
      <c r="L184" s="482">
        <f t="shared" si="25"/>
        <v>0</v>
      </c>
      <c r="M184" s="480"/>
    </row>
    <row r="185" spans="1:13" customFormat="1" ht="15.75" customHeight="1" x14ac:dyDescent="0.25">
      <c r="A185" s="340" t="s">
        <v>148</v>
      </c>
      <c r="B185" s="341" t="s">
        <v>9</v>
      </c>
      <c r="C185" s="350">
        <v>81006</v>
      </c>
      <c r="D185" s="342" t="str">
        <f>'MEMÓRIA DE CÁLCULO'!B371</f>
        <v>TUBO SOLDAVEL PVC MARROM DIAM. 50 mm</v>
      </c>
      <c r="E185" s="343">
        <f>'MEMÓRIA DE CÁLCULO'!D371</f>
        <v>64.260000000000005</v>
      </c>
      <c r="F185" s="350" t="s">
        <v>108</v>
      </c>
      <c r="G185" s="348"/>
      <c r="H185" s="348"/>
      <c r="I185" s="345">
        <f t="shared" si="28"/>
        <v>0</v>
      </c>
      <c r="J185" s="478">
        <f t="shared" si="26"/>
        <v>0</v>
      </c>
      <c r="K185" s="478">
        <f t="shared" si="27"/>
        <v>0</v>
      </c>
      <c r="L185" s="482">
        <f t="shared" si="25"/>
        <v>0</v>
      </c>
      <c r="M185" s="480"/>
    </row>
    <row r="186" spans="1:13" customFormat="1" ht="15" x14ac:dyDescent="0.25">
      <c r="A186" s="340" t="s">
        <v>149</v>
      </c>
      <c r="B186" s="341" t="s">
        <v>9</v>
      </c>
      <c r="C186" s="350">
        <v>81040</v>
      </c>
      <c r="D186" s="342" t="str">
        <f>'MEMÓRIA DE CÁLCULO'!B372</f>
        <v>A D A P T A D O R E S DE P V C S O L D A V E</v>
      </c>
      <c r="E186" s="343"/>
      <c r="F186" s="350"/>
      <c r="G186" s="348"/>
      <c r="H186" s="348"/>
      <c r="I186" s="345"/>
      <c r="J186" s="478">
        <f t="shared" si="26"/>
        <v>0</v>
      </c>
      <c r="K186" s="478">
        <f t="shared" si="27"/>
        <v>0</v>
      </c>
      <c r="L186" s="482"/>
      <c r="M186" s="480"/>
    </row>
    <row r="187" spans="1:13" customFormat="1" ht="15.75" customHeight="1" x14ac:dyDescent="0.25">
      <c r="A187" s="340" t="s">
        <v>150</v>
      </c>
      <c r="B187" s="341" t="s">
        <v>9</v>
      </c>
      <c r="C187" s="341">
        <v>81057</v>
      </c>
      <c r="D187" s="342" t="str">
        <f>'MEMÓRIA DE CÁLCULO'!B373</f>
        <v>ADAPTADOR SOLD.C/FLANGES LIV.P/CX.DAGUA 40X1.1/4"</v>
      </c>
      <c r="E187" s="343">
        <f>'MEMÓRIA DE CÁLCULO'!D373</f>
        <v>7</v>
      </c>
      <c r="F187" s="341" t="s">
        <v>278</v>
      </c>
      <c r="G187" s="344"/>
      <c r="H187" s="344"/>
      <c r="I187" s="345">
        <f>(G187+H187)*E187</f>
        <v>0</v>
      </c>
      <c r="J187" s="478">
        <f t="shared" si="26"/>
        <v>0</v>
      </c>
      <c r="K187" s="478">
        <f t="shared" si="27"/>
        <v>0</v>
      </c>
      <c r="L187" s="482">
        <f t="shared" si="25"/>
        <v>0</v>
      </c>
      <c r="M187" s="480"/>
    </row>
    <row r="188" spans="1:13" customFormat="1" ht="15.75" customHeight="1" x14ac:dyDescent="0.25">
      <c r="A188" s="340" t="s">
        <v>151</v>
      </c>
      <c r="B188" s="341" t="s">
        <v>9</v>
      </c>
      <c r="C188" s="341">
        <v>81058</v>
      </c>
      <c r="D188" s="342" t="str">
        <f>'MEMÓRIA DE CÁLCULO'!B374</f>
        <v>ADAPTAD.SOLD.C/FL.LIVRES P/CX.DAGUA 50X1.1/2"</v>
      </c>
      <c r="E188" s="343">
        <f>'MEMÓRIA DE CÁLCULO'!D374</f>
        <v>1</v>
      </c>
      <c r="F188" s="341" t="s">
        <v>278</v>
      </c>
      <c r="G188" s="344"/>
      <c r="H188" s="344"/>
      <c r="I188" s="345">
        <f>(G188+H188)*E188</f>
        <v>0</v>
      </c>
      <c r="J188" s="478">
        <f t="shared" si="26"/>
        <v>0</v>
      </c>
      <c r="K188" s="478">
        <f t="shared" si="27"/>
        <v>0</v>
      </c>
      <c r="L188" s="482">
        <f t="shared" si="25"/>
        <v>0</v>
      </c>
      <c r="M188" s="480"/>
    </row>
    <row r="189" spans="1:13" customFormat="1" ht="15.75" customHeight="1" x14ac:dyDescent="0.25">
      <c r="A189" s="340" t="s">
        <v>152</v>
      </c>
      <c r="B189" s="341" t="s">
        <v>9</v>
      </c>
      <c r="C189" s="341">
        <v>81066</v>
      </c>
      <c r="D189" s="342" t="str">
        <f>'MEMÓRIA DE CÁLCULO'!B375</f>
        <v xml:space="preserve">ADAPTAD.SOLD.CURTO C/BOLSA E ROSCA P/REG.25X3/4" </v>
      </c>
      <c r="E189" s="343">
        <f>'MEMÓRIA DE CÁLCULO'!D375</f>
        <v>78</v>
      </c>
      <c r="F189" s="341" t="s">
        <v>278</v>
      </c>
      <c r="G189" s="344"/>
      <c r="H189" s="344"/>
      <c r="I189" s="345">
        <f t="shared" si="28"/>
        <v>0</v>
      </c>
      <c r="J189" s="478">
        <f t="shared" si="26"/>
        <v>0</v>
      </c>
      <c r="K189" s="478">
        <f t="shared" si="27"/>
        <v>0</v>
      </c>
      <c r="L189" s="482">
        <f t="shared" ref="L189:L278" si="36">K189+J189</f>
        <v>0</v>
      </c>
      <c r="M189" s="480"/>
    </row>
    <row r="190" spans="1:13" customFormat="1" ht="15.75" customHeight="1" x14ac:dyDescent="0.25">
      <c r="A190" s="340" t="s">
        <v>153</v>
      </c>
      <c r="B190" s="341" t="s">
        <v>9</v>
      </c>
      <c r="C190" s="350">
        <v>81067</v>
      </c>
      <c r="D190" s="342" t="str">
        <f>'MEMÓRIA DE CÁLCULO'!B376</f>
        <v xml:space="preserve">ADAPTAD.SOLD.CURTO C/BOLSA E ROSCA P/REG.32X1" </v>
      </c>
      <c r="E190" s="343">
        <f>'MEMÓRIA DE CÁLCULO'!D376</f>
        <v>14</v>
      </c>
      <c r="F190" s="341" t="s">
        <v>278</v>
      </c>
      <c r="G190" s="348"/>
      <c r="H190" s="348"/>
      <c r="I190" s="345">
        <f t="shared" si="28"/>
        <v>0</v>
      </c>
      <c r="J190" s="478">
        <f t="shared" si="26"/>
        <v>0</v>
      </c>
      <c r="K190" s="478">
        <f t="shared" si="27"/>
        <v>0</v>
      </c>
      <c r="L190" s="482">
        <f t="shared" si="36"/>
        <v>0</v>
      </c>
      <c r="M190" s="480"/>
    </row>
    <row r="191" spans="1:13" customFormat="1" ht="15.75" customHeight="1" x14ac:dyDescent="0.25">
      <c r="A191" s="340" t="s">
        <v>154</v>
      </c>
      <c r="B191" s="341" t="s">
        <v>9</v>
      </c>
      <c r="C191" s="350">
        <v>81068</v>
      </c>
      <c r="D191" s="342" t="str">
        <f>'MEMÓRIA DE CÁLCULO'!B377</f>
        <v>ADAPTAD.SOLD.CURTO C/BOLSA/ROSCA P/REG.40X1 1/4"</v>
      </c>
      <c r="E191" s="343">
        <f>'MEMÓRIA DE CÁLCULO'!D377</f>
        <v>26</v>
      </c>
      <c r="F191" s="341" t="s">
        <v>278</v>
      </c>
      <c r="G191" s="348"/>
      <c r="H191" s="348"/>
      <c r="I191" s="345">
        <f t="shared" si="28"/>
        <v>0</v>
      </c>
      <c r="J191" s="478">
        <f t="shared" si="26"/>
        <v>0</v>
      </c>
      <c r="K191" s="478">
        <f t="shared" si="27"/>
        <v>0</v>
      </c>
      <c r="L191" s="482">
        <f t="shared" si="36"/>
        <v>0</v>
      </c>
      <c r="M191" s="480"/>
    </row>
    <row r="192" spans="1:13" customFormat="1" ht="15.75" customHeight="1" x14ac:dyDescent="0.25">
      <c r="A192" s="340" t="s">
        <v>155</v>
      </c>
      <c r="B192" s="341" t="s">
        <v>9</v>
      </c>
      <c r="C192" s="350">
        <v>81069</v>
      </c>
      <c r="D192" s="342" t="str">
        <f>'MEMÓRIA DE CÁLCULO'!B378</f>
        <v>ADAPTAD.SOLD.CURTO C/BOLSA/ROSCA P/REG.50X11/2"</v>
      </c>
      <c r="E192" s="343">
        <f>'MEMÓRIA DE CÁLCULO'!D378</f>
        <v>2</v>
      </c>
      <c r="F192" s="341" t="s">
        <v>278</v>
      </c>
      <c r="G192" s="348"/>
      <c r="H192" s="348"/>
      <c r="I192" s="345">
        <f t="shared" si="28"/>
        <v>0</v>
      </c>
      <c r="J192" s="478">
        <f t="shared" si="26"/>
        <v>0</v>
      </c>
      <c r="K192" s="478">
        <f t="shared" si="27"/>
        <v>0</v>
      </c>
      <c r="L192" s="482">
        <f t="shared" si="36"/>
        <v>0</v>
      </c>
      <c r="M192" s="480"/>
    </row>
    <row r="193" spans="1:13" customFormat="1" ht="15" x14ac:dyDescent="0.25">
      <c r="A193" s="340" t="s">
        <v>156</v>
      </c>
      <c r="B193" s="341" t="s">
        <v>9</v>
      </c>
      <c r="C193" s="350">
        <v>81100</v>
      </c>
      <c r="D193" s="342" t="str">
        <f>'MEMÓRIA DE CÁLCULO'!B379</f>
        <v>L U V A S DE P V C</v>
      </c>
      <c r="E193" s="343"/>
      <c r="F193" s="350"/>
      <c r="G193" s="348"/>
      <c r="H193" s="348"/>
      <c r="I193" s="345"/>
      <c r="J193" s="478">
        <f t="shared" si="26"/>
        <v>0</v>
      </c>
      <c r="K193" s="478">
        <f t="shared" si="27"/>
        <v>0</v>
      </c>
      <c r="L193" s="482"/>
      <c r="M193" s="480"/>
    </row>
    <row r="194" spans="1:13" customFormat="1" ht="15.75" customHeight="1" x14ac:dyDescent="0.25">
      <c r="A194" s="340" t="s">
        <v>157</v>
      </c>
      <c r="B194" s="341" t="s">
        <v>9</v>
      </c>
      <c r="C194" s="341">
        <v>81102</v>
      </c>
      <c r="D194" s="342" t="str">
        <f>'MEMÓRIA DE CÁLCULO'!B380</f>
        <v>LUVA SOLDAVEL DIAMETRO 25 mm</v>
      </c>
      <c r="E194" s="343">
        <f>'MEMÓRIA DE CÁLCULO'!D380</f>
        <v>1</v>
      </c>
      <c r="F194" s="341" t="s">
        <v>278</v>
      </c>
      <c r="G194" s="344"/>
      <c r="H194" s="344"/>
      <c r="I194" s="345">
        <f t="shared" si="28"/>
        <v>0</v>
      </c>
      <c r="J194" s="478">
        <f t="shared" si="26"/>
        <v>0</v>
      </c>
      <c r="K194" s="478">
        <f t="shared" si="27"/>
        <v>0</v>
      </c>
      <c r="L194" s="482">
        <f t="shared" si="36"/>
        <v>0</v>
      </c>
      <c r="M194" s="480"/>
    </row>
    <row r="195" spans="1:13" customFormat="1" ht="15.75" customHeight="1" x14ac:dyDescent="0.25">
      <c r="A195" s="340" t="s">
        <v>158</v>
      </c>
      <c r="B195" s="341" t="s">
        <v>9</v>
      </c>
      <c r="C195" s="341">
        <v>81122</v>
      </c>
      <c r="D195" s="342" t="str">
        <f>'MEMÓRIA DE CÁLCULO'!B381</f>
        <v>LUVA DE REDUCAO SOLDAVEL DIAMETRO 32 X 25 mm</v>
      </c>
      <c r="E195" s="343">
        <f>'MEMÓRIA DE CÁLCULO'!D381</f>
        <v>26</v>
      </c>
      <c r="F195" s="341" t="s">
        <v>278</v>
      </c>
      <c r="G195" s="344"/>
      <c r="H195" s="344"/>
      <c r="I195" s="345">
        <f t="shared" si="28"/>
        <v>0</v>
      </c>
      <c r="J195" s="478">
        <f t="shared" si="26"/>
        <v>0</v>
      </c>
      <c r="K195" s="478">
        <f t="shared" si="27"/>
        <v>0</v>
      </c>
      <c r="L195" s="482">
        <f t="shared" si="36"/>
        <v>0</v>
      </c>
      <c r="M195" s="480"/>
    </row>
    <row r="196" spans="1:13" customFormat="1" ht="15.75" customHeight="1" x14ac:dyDescent="0.25">
      <c r="A196" s="340" t="s">
        <v>159</v>
      </c>
      <c r="B196" s="341" t="s">
        <v>9</v>
      </c>
      <c r="C196" s="341">
        <v>81160</v>
      </c>
      <c r="D196" s="342" t="str">
        <f>'MEMÓRIA DE CÁLCULO'!B382</f>
        <v>B U C H A S</v>
      </c>
      <c r="E196" s="343"/>
      <c r="F196" s="341"/>
      <c r="G196" s="344"/>
      <c r="H196" s="344"/>
      <c r="I196" s="345"/>
      <c r="J196" s="478">
        <f t="shared" si="26"/>
        <v>0</v>
      </c>
      <c r="K196" s="478">
        <f t="shared" si="27"/>
        <v>0</v>
      </c>
      <c r="L196" s="482"/>
      <c r="M196" s="480"/>
    </row>
    <row r="197" spans="1:13" customFormat="1" ht="15.75" customHeight="1" x14ac:dyDescent="0.25">
      <c r="A197" s="340" t="s">
        <v>160</v>
      </c>
      <c r="B197" s="341" t="s">
        <v>9</v>
      </c>
      <c r="C197" s="350">
        <v>81162</v>
      </c>
      <c r="D197" s="342" t="str">
        <f>'MEMÓRIA DE CÁLCULO'!B383</f>
        <v xml:space="preserve">BUCHA DE REDUCAO SOLD.CURTA 32 X 25 mm </v>
      </c>
      <c r="E197" s="343">
        <f>'MEMÓRIA DE CÁLCULO'!D383</f>
        <v>6</v>
      </c>
      <c r="F197" s="341" t="s">
        <v>278</v>
      </c>
      <c r="G197" s="348"/>
      <c r="H197" s="348"/>
      <c r="I197" s="345">
        <f t="shared" si="28"/>
        <v>0</v>
      </c>
      <c r="J197" s="478">
        <f t="shared" si="26"/>
        <v>0</v>
      </c>
      <c r="K197" s="478">
        <f t="shared" si="27"/>
        <v>0</v>
      </c>
      <c r="L197" s="482">
        <f t="shared" si="36"/>
        <v>0</v>
      </c>
      <c r="M197" s="480"/>
    </row>
    <row r="198" spans="1:13" customFormat="1" ht="15.75" customHeight="1" x14ac:dyDescent="0.25">
      <c r="A198" s="340" t="s">
        <v>161</v>
      </c>
      <c r="B198" s="341" t="s">
        <v>9</v>
      </c>
      <c r="C198" s="350">
        <v>81163</v>
      </c>
      <c r="D198" s="342" t="str">
        <f>'MEMÓRIA DE CÁLCULO'!B384</f>
        <v>BUCHA DE REDUCAO SOLD.CURTA 40 X 32 mm</v>
      </c>
      <c r="E198" s="343">
        <f>'MEMÓRIA DE CÁLCULO'!D384</f>
        <v>35</v>
      </c>
      <c r="F198" s="341" t="s">
        <v>278</v>
      </c>
      <c r="G198" s="348"/>
      <c r="H198" s="348"/>
      <c r="I198" s="345">
        <f t="shared" si="28"/>
        <v>0</v>
      </c>
      <c r="J198" s="478">
        <f t="shared" si="26"/>
        <v>0</v>
      </c>
      <c r="K198" s="478">
        <f t="shared" si="27"/>
        <v>0</v>
      </c>
      <c r="L198" s="482">
        <f t="shared" si="36"/>
        <v>0</v>
      </c>
      <c r="M198" s="480"/>
    </row>
    <row r="199" spans="1:13" customFormat="1" ht="15.75" customHeight="1" x14ac:dyDescent="0.25">
      <c r="A199" s="340" t="s">
        <v>162</v>
      </c>
      <c r="B199" s="341" t="s">
        <v>9</v>
      </c>
      <c r="C199" s="350">
        <v>81180</v>
      </c>
      <c r="D199" s="342" t="str">
        <f>'MEMÓRIA DE CÁLCULO'!B385</f>
        <v>BUCHA DE REDUCAO SOLDAVEL LONGA 50 X 32 mm</v>
      </c>
      <c r="E199" s="343">
        <f>'MEMÓRIA DE CÁLCULO'!D385</f>
        <v>2</v>
      </c>
      <c r="F199" s="341" t="s">
        <v>278</v>
      </c>
      <c r="G199" s="348"/>
      <c r="H199" s="348"/>
      <c r="I199" s="345">
        <f t="shared" si="28"/>
        <v>0</v>
      </c>
      <c r="J199" s="478">
        <f t="shared" si="26"/>
        <v>0</v>
      </c>
      <c r="K199" s="478">
        <f t="shared" si="27"/>
        <v>0</v>
      </c>
      <c r="L199" s="482">
        <f t="shared" si="36"/>
        <v>0</v>
      </c>
      <c r="M199" s="480"/>
    </row>
    <row r="200" spans="1:13" customFormat="1" ht="15" x14ac:dyDescent="0.25">
      <c r="A200" s="340" t="s">
        <v>1386</v>
      </c>
      <c r="B200" s="341" t="s">
        <v>9</v>
      </c>
      <c r="C200" s="350">
        <v>81300</v>
      </c>
      <c r="D200" s="342" t="str">
        <f>'MEMÓRIA DE CÁLCULO'!B386</f>
        <v>J O E L H O S</v>
      </c>
      <c r="E200" s="343"/>
      <c r="F200" s="350"/>
      <c r="G200" s="348"/>
      <c r="H200" s="348"/>
      <c r="I200" s="345"/>
      <c r="J200" s="478">
        <f t="shared" si="26"/>
        <v>0</v>
      </c>
      <c r="K200" s="478">
        <f t="shared" si="27"/>
        <v>0</v>
      </c>
      <c r="L200" s="482"/>
      <c r="M200" s="480"/>
    </row>
    <row r="201" spans="1:13" customFormat="1" ht="15" x14ac:dyDescent="0.25">
      <c r="A201" s="340" t="s">
        <v>163</v>
      </c>
      <c r="B201" s="341" t="s">
        <v>9</v>
      </c>
      <c r="C201" s="350">
        <v>81302</v>
      </c>
      <c r="D201" s="342" t="str">
        <f>'MEMÓRIA DE CÁLCULO'!B387</f>
        <v>JOELHO 45 GRAUS SOLDAVEL 25 mm</v>
      </c>
      <c r="E201" s="343">
        <f>'MEMÓRIA DE CÁLCULO'!D387</f>
        <v>2</v>
      </c>
      <c r="F201" s="350" t="s">
        <v>278</v>
      </c>
      <c r="G201" s="348"/>
      <c r="H201" s="348"/>
      <c r="I201" s="345">
        <f>(H201+G201)*E201</f>
        <v>0</v>
      </c>
      <c r="J201" s="478">
        <f t="shared" si="26"/>
        <v>0</v>
      </c>
      <c r="K201" s="478">
        <f t="shared" si="27"/>
        <v>0</v>
      </c>
      <c r="L201" s="482"/>
      <c r="M201" s="480"/>
    </row>
    <row r="202" spans="1:13" customFormat="1" ht="15" x14ac:dyDescent="0.25">
      <c r="A202" s="340" t="s">
        <v>164</v>
      </c>
      <c r="B202" s="341" t="s">
        <v>9</v>
      </c>
      <c r="C202" s="350">
        <v>81303</v>
      </c>
      <c r="D202" s="342" t="str">
        <f>'MEMÓRIA DE CÁLCULO'!B388</f>
        <v>JOELHO 45 GRAUS SOLDAVEL 32 mm</v>
      </c>
      <c r="E202" s="343">
        <f>'MEMÓRIA DE CÁLCULO'!D388</f>
        <v>2</v>
      </c>
      <c r="F202" s="341" t="s">
        <v>278</v>
      </c>
      <c r="G202" s="348"/>
      <c r="H202" s="348"/>
      <c r="I202" s="345">
        <f t="shared" si="28"/>
        <v>0</v>
      </c>
      <c r="J202" s="478">
        <f t="shared" si="26"/>
        <v>0</v>
      </c>
      <c r="K202" s="478">
        <f t="shared" si="27"/>
        <v>0</v>
      </c>
      <c r="L202" s="482">
        <f t="shared" si="36"/>
        <v>0</v>
      </c>
      <c r="M202" s="480"/>
    </row>
    <row r="203" spans="1:13" customFormat="1" ht="15" x14ac:dyDescent="0.25">
      <c r="A203" s="340" t="s">
        <v>165</v>
      </c>
      <c r="B203" s="341" t="s">
        <v>9</v>
      </c>
      <c r="C203" s="350">
        <v>81321</v>
      </c>
      <c r="D203" s="342" t="str">
        <f>'MEMÓRIA DE CÁLCULO'!B389</f>
        <v xml:space="preserve">JOELHO 90 GRAUS SOLDAVEL DIAMETRO 25 MM </v>
      </c>
      <c r="E203" s="343">
        <f>'MEMÓRIA DE CÁLCULO'!D389</f>
        <v>106</v>
      </c>
      <c r="F203" s="341" t="s">
        <v>278</v>
      </c>
      <c r="G203" s="348"/>
      <c r="H203" s="348"/>
      <c r="I203" s="345">
        <f t="shared" si="28"/>
        <v>0</v>
      </c>
      <c r="J203" s="478">
        <f t="shared" si="26"/>
        <v>0</v>
      </c>
      <c r="K203" s="478">
        <f t="shared" si="27"/>
        <v>0</v>
      </c>
      <c r="L203" s="482">
        <f t="shared" si="36"/>
        <v>0</v>
      </c>
      <c r="M203" s="480"/>
    </row>
    <row r="204" spans="1:13" customFormat="1" ht="15.75" customHeight="1" x14ac:dyDescent="0.25">
      <c r="A204" s="340" t="s">
        <v>166</v>
      </c>
      <c r="B204" s="341" t="s">
        <v>9</v>
      </c>
      <c r="C204" s="350">
        <v>81322</v>
      </c>
      <c r="D204" s="342" t="str">
        <f>'MEMÓRIA DE CÁLCULO'!B390</f>
        <v xml:space="preserve">JOELHO 90 GRAUS SOLDAVEL DIAMETRO 32 MM (1") </v>
      </c>
      <c r="E204" s="343">
        <f>'MEMÓRIA DE CÁLCULO'!D390</f>
        <v>60</v>
      </c>
      <c r="F204" s="341" t="s">
        <v>278</v>
      </c>
      <c r="G204" s="348"/>
      <c r="H204" s="348"/>
      <c r="I204" s="345">
        <f t="shared" si="28"/>
        <v>0</v>
      </c>
      <c r="J204" s="478">
        <f t="shared" si="26"/>
        <v>0</v>
      </c>
      <c r="K204" s="478">
        <f t="shared" si="27"/>
        <v>0</v>
      </c>
      <c r="L204" s="482">
        <f t="shared" si="36"/>
        <v>0</v>
      </c>
      <c r="M204" s="480"/>
    </row>
    <row r="205" spans="1:13" customFormat="1" ht="15.75" customHeight="1" x14ac:dyDescent="0.25">
      <c r="A205" s="340" t="s">
        <v>1387</v>
      </c>
      <c r="B205" s="341" t="s">
        <v>9</v>
      </c>
      <c r="C205" s="350">
        <v>81323</v>
      </c>
      <c r="D205" s="342" t="str">
        <f>'MEMÓRIA DE CÁLCULO'!B391</f>
        <v>JOELHO 90 GRAUS SOLDAVEL DIAMETRO 40 mm (1.1/4")</v>
      </c>
      <c r="E205" s="343">
        <f>'MEMÓRIA DE CÁLCULO'!D391</f>
        <v>47</v>
      </c>
      <c r="F205" s="341" t="s">
        <v>278</v>
      </c>
      <c r="G205" s="348"/>
      <c r="H205" s="348"/>
      <c r="I205" s="345">
        <f t="shared" si="28"/>
        <v>0</v>
      </c>
      <c r="J205" s="478">
        <f t="shared" si="26"/>
        <v>0</v>
      </c>
      <c r="K205" s="478">
        <f t="shared" si="27"/>
        <v>0</v>
      </c>
      <c r="L205" s="482">
        <f t="shared" si="36"/>
        <v>0</v>
      </c>
      <c r="M205" s="480"/>
    </row>
    <row r="206" spans="1:13" customFormat="1" ht="15.75" customHeight="1" x14ac:dyDescent="0.25">
      <c r="A206" s="340" t="s">
        <v>1388</v>
      </c>
      <c r="B206" s="341" t="s">
        <v>9</v>
      </c>
      <c r="C206" s="350">
        <v>81324</v>
      </c>
      <c r="D206" s="342" t="str">
        <f>'MEMÓRIA DE CÁLCULO'!B392</f>
        <v>JOELHO 90 GRAUS SOLDAVEL 50 mm (MARROM)</v>
      </c>
      <c r="E206" s="343">
        <f>'MEMÓRIA DE CÁLCULO'!D392</f>
        <v>7</v>
      </c>
      <c r="F206" s="341" t="s">
        <v>278</v>
      </c>
      <c r="G206" s="348"/>
      <c r="H206" s="348"/>
      <c r="I206" s="345">
        <f t="shared" si="28"/>
        <v>0</v>
      </c>
      <c r="J206" s="478">
        <f t="shared" si="26"/>
        <v>0</v>
      </c>
      <c r="K206" s="478">
        <f t="shared" si="27"/>
        <v>0</v>
      </c>
      <c r="L206" s="482">
        <f t="shared" si="36"/>
        <v>0</v>
      </c>
      <c r="M206" s="480"/>
    </row>
    <row r="207" spans="1:13" customFormat="1" ht="15.75" customHeight="1" x14ac:dyDescent="0.25">
      <c r="A207" s="340" t="s">
        <v>1389</v>
      </c>
      <c r="B207" s="341" t="s">
        <v>9</v>
      </c>
      <c r="C207" s="350">
        <v>81360</v>
      </c>
      <c r="D207" s="342" t="str">
        <f>'MEMÓRIA DE CÁLCULO'!B393</f>
        <v xml:space="preserve">JOELHO RED.90 GRAUS SOLD.C/BUCHA LATAO 25X1/2" </v>
      </c>
      <c r="E207" s="343">
        <f>'MEMÓRIA DE CÁLCULO'!D393</f>
        <v>81</v>
      </c>
      <c r="F207" s="341" t="s">
        <v>278</v>
      </c>
      <c r="G207" s="348"/>
      <c r="H207" s="348"/>
      <c r="I207" s="345">
        <f t="shared" si="28"/>
        <v>0</v>
      </c>
      <c r="J207" s="478">
        <f t="shared" si="26"/>
        <v>0</v>
      </c>
      <c r="K207" s="478">
        <f t="shared" si="27"/>
        <v>0</v>
      </c>
      <c r="L207" s="482">
        <f t="shared" si="36"/>
        <v>0</v>
      </c>
      <c r="M207" s="480"/>
    </row>
    <row r="208" spans="1:13" customFormat="1" ht="15.75" customHeight="1" x14ac:dyDescent="0.25">
      <c r="A208" s="340" t="s">
        <v>1390</v>
      </c>
      <c r="B208" s="341" t="s">
        <v>9</v>
      </c>
      <c r="C208" s="350">
        <v>81369</v>
      </c>
      <c r="D208" s="342" t="str">
        <f>'MEMÓRIA DE CÁLCULO'!B394</f>
        <v>JOELHO 90 GRAUS SOLD. C/BUCHA LATAO 25 X 3/4"</v>
      </c>
      <c r="E208" s="343">
        <f>'MEMÓRIA DE CÁLCULO'!D394</f>
        <v>4</v>
      </c>
      <c r="F208" s="341" t="s">
        <v>278</v>
      </c>
      <c r="G208" s="348"/>
      <c r="H208" s="348"/>
      <c r="I208" s="345">
        <f t="shared" si="28"/>
        <v>0</v>
      </c>
      <c r="J208" s="478">
        <f t="shared" ref="J208:J271" si="37">G208*E208</f>
        <v>0</v>
      </c>
      <c r="K208" s="478">
        <f t="shared" ref="K208:K271" si="38">H208*E208</f>
        <v>0</v>
      </c>
      <c r="L208" s="482">
        <f t="shared" si="36"/>
        <v>0</v>
      </c>
      <c r="M208" s="480"/>
    </row>
    <row r="209" spans="1:13" customFormat="1" ht="15" x14ac:dyDescent="0.25">
      <c r="A209" s="340" t="s">
        <v>1391</v>
      </c>
      <c r="B209" s="341" t="s">
        <v>9</v>
      </c>
      <c r="C209" s="350">
        <v>81340</v>
      </c>
      <c r="D209" s="342" t="str">
        <f>'MEMÓRIA DE CÁLCULO'!B395</f>
        <v>JOELHO REDUÇÃO 90º SOLDÁVEL  32 mm X 25 mm</v>
      </c>
      <c r="E209" s="343">
        <f>'MEMÓRIA DE CÁLCULO'!D395</f>
        <v>8</v>
      </c>
      <c r="F209" s="341" t="s">
        <v>278</v>
      </c>
      <c r="G209" s="348"/>
      <c r="H209" s="348"/>
      <c r="I209" s="345">
        <f t="shared" si="28"/>
        <v>0</v>
      </c>
      <c r="J209" s="478">
        <f t="shared" si="37"/>
        <v>0</v>
      </c>
      <c r="K209" s="478">
        <f t="shared" si="38"/>
        <v>0</v>
      </c>
      <c r="L209" s="482">
        <f t="shared" si="36"/>
        <v>0</v>
      </c>
      <c r="M209" s="480"/>
    </row>
    <row r="210" spans="1:13" customFormat="1" ht="15" x14ac:dyDescent="0.25">
      <c r="A210" s="340" t="s">
        <v>167</v>
      </c>
      <c r="B210" s="341" t="s">
        <v>9</v>
      </c>
      <c r="C210" s="341">
        <v>81400</v>
      </c>
      <c r="D210" s="342" t="str">
        <f>'MEMÓRIA DE CÁLCULO'!B396</f>
        <v>T E</v>
      </c>
      <c r="E210" s="343"/>
      <c r="F210" s="341"/>
      <c r="G210" s="344"/>
      <c r="H210" s="344"/>
      <c r="I210" s="345"/>
      <c r="J210" s="478">
        <f t="shared" si="37"/>
        <v>0</v>
      </c>
      <c r="K210" s="478">
        <f t="shared" si="38"/>
        <v>0</v>
      </c>
      <c r="L210" s="482"/>
      <c r="M210" s="480"/>
    </row>
    <row r="211" spans="1:13" customFormat="1" ht="15" x14ac:dyDescent="0.25">
      <c r="A211" s="340" t="s">
        <v>168</v>
      </c>
      <c r="B211" s="341" t="s">
        <v>9</v>
      </c>
      <c r="C211" s="350">
        <v>81402</v>
      </c>
      <c r="D211" s="342" t="str">
        <f>'MEMÓRIA DE CÁLCULO'!B397</f>
        <v>TE 90 GRAUS SOLDAVEL DIAMETRO 25 mm</v>
      </c>
      <c r="E211" s="343">
        <f>'MEMÓRIA DE CÁLCULO'!D397</f>
        <v>47</v>
      </c>
      <c r="F211" s="341" t="s">
        <v>278</v>
      </c>
      <c r="G211" s="348"/>
      <c r="H211" s="348"/>
      <c r="I211" s="345">
        <f t="shared" si="28"/>
        <v>0</v>
      </c>
      <c r="J211" s="478">
        <f t="shared" si="37"/>
        <v>0</v>
      </c>
      <c r="K211" s="478">
        <f t="shared" si="38"/>
        <v>0</v>
      </c>
      <c r="L211" s="482">
        <f t="shared" si="36"/>
        <v>0</v>
      </c>
      <c r="M211" s="480"/>
    </row>
    <row r="212" spans="1:13" customFormat="1" ht="15.75" customHeight="1" x14ac:dyDescent="0.25">
      <c r="A212" s="340" t="s">
        <v>169</v>
      </c>
      <c r="B212" s="341" t="s">
        <v>9</v>
      </c>
      <c r="C212" s="350">
        <v>81403</v>
      </c>
      <c r="D212" s="342" t="str">
        <f>'MEMÓRIA DE CÁLCULO'!B398</f>
        <v xml:space="preserve">TE 90 GRAUS SOLDAVEL DIAMETRO 32 mm </v>
      </c>
      <c r="E212" s="343">
        <f>'MEMÓRIA DE CÁLCULO'!D398</f>
        <v>12</v>
      </c>
      <c r="F212" s="341" t="s">
        <v>278</v>
      </c>
      <c r="G212" s="348"/>
      <c r="H212" s="348"/>
      <c r="I212" s="345">
        <f>(G212+H212)*E212</f>
        <v>0</v>
      </c>
      <c r="J212" s="478">
        <f t="shared" si="37"/>
        <v>0</v>
      </c>
      <c r="K212" s="478">
        <f t="shared" si="38"/>
        <v>0</v>
      </c>
      <c r="L212" s="482">
        <f t="shared" si="36"/>
        <v>0</v>
      </c>
      <c r="M212" s="480"/>
    </row>
    <row r="213" spans="1:13" customFormat="1" ht="15.75" customHeight="1" x14ac:dyDescent="0.25">
      <c r="A213" s="340" t="s">
        <v>170</v>
      </c>
      <c r="B213" s="341" t="s">
        <v>9</v>
      </c>
      <c r="C213" s="350">
        <v>81404</v>
      </c>
      <c r="D213" s="342" t="str">
        <f>'MEMÓRIA DE CÁLCULO'!B399</f>
        <v>TE 90 GRAUS SOLDAVEL DIAMETRO 40 mm</v>
      </c>
      <c r="E213" s="343">
        <f>'MEMÓRIA DE CÁLCULO'!D399</f>
        <v>21</v>
      </c>
      <c r="F213" s="341" t="s">
        <v>278</v>
      </c>
      <c r="G213" s="348"/>
      <c r="H213" s="348"/>
      <c r="I213" s="345">
        <f t="shared" ref="I213:I214" si="39">(G213+H213)*E213</f>
        <v>0</v>
      </c>
      <c r="J213" s="478">
        <f t="shared" si="37"/>
        <v>0</v>
      </c>
      <c r="K213" s="478">
        <f t="shared" si="38"/>
        <v>0</v>
      </c>
      <c r="L213" s="482">
        <f t="shared" si="36"/>
        <v>0</v>
      </c>
      <c r="M213" s="480"/>
    </row>
    <row r="214" spans="1:13" customFormat="1" ht="15.75" customHeight="1" x14ac:dyDescent="0.25">
      <c r="A214" s="340" t="s">
        <v>171</v>
      </c>
      <c r="B214" s="341" t="s">
        <v>9</v>
      </c>
      <c r="C214" s="350">
        <v>81405</v>
      </c>
      <c r="D214" s="342" t="str">
        <f>'MEMÓRIA DE CÁLCULO'!B400</f>
        <v>TE 90 GRAUS SOLDAVEL DIAMETRO 50 mm</v>
      </c>
      <c r="E214" s="343">
        <f>'MEMÓRIA DE CÁLCULO'!D400</f>
        <v>2</v>
      </c>
      <c r="F214" s="341" t="s">
        <v>278</v>
      </c>
      <c r="G214" s="348"/>
      <c r="H214" s="348"/>
      <c r="I214" s="345">
        <f t="shared" si="39"/>
        <v>0</v>
      </c>
      <c r="J214" s="478">
        <f t="shared" si="37"/>
        <v>0</v>
      </c>
      <c r="K214" s="478">
        <f t="shared" si="38"/>
        <v>0</v>
      </c>
      <c r="L214" s="482">
        <f t="shared" si="36"/>
        <v>0</v>
      </c>
      <c r="M214" s="480"/>
    </row>
    <row r="215" spans="1:13" customFormat="1" ht="15.75" customHeight="1" x14ac:dyDescent="0.25">
      <c r="A215" s="340" t="s">
        <v>172</v>
      </c>
      <c r="B215" s="341" t="s">
        <v>9</v>
      </c>
      <c r="C215" s="350">
        <v>81421</v>
      </c>
      <c r="D215" s="342" t="str">
        <f>'MEMÓRIA DE CÁLCULO'!B401</f>
        <v xml:space="preserve">TE REDUCAO 90 GRAUS SOLDAVEL 32 X 25 mm </v>
      </c>
      <c r="E215" s="343">
        <f>'MEMÓRIA DE CÁLCULO'!D401</f>
        <v>5</v>
      </c>
      <c r="F215" s="341" t="s">
        <v>278</v>
      </c>
      <c r="G215" s="348"/>
      <c r="H215" s="348"/>
      <c r="I215" s="345">
        <f t="shared" si="28"/>
        <v>0</v>
      </c>
      <c r="J215" s="478">
        <f t="shared" si="37"/>
        <v>0</v>
      </c>
      <c r="K215" s="478">
        <f t="shared" si="38"/>
        <v>0</v>
      </c>
      <c r="L215" s="482">
        <f t="shared" si="36"/>
        <v>0</v>
      </c>
      <c r="M215" s="480"/>
    </row>
    <row r="216" spans="1:13" customFormat="1" ht="15.75" customHeight="1" x14ac:dyDescent="0.25">
      <c r="A216" s="340" t="s">
        <v>173</v>
      </c>
      <c r="B216" s="341" t="s">
        <v>9</v>
      </c>
      <c r="C216" s="350">
        <v>81422</v>
      </c>
      <c r="D216" s="342" t="str">
        <f>'MEMÓRIA DE CÁLCULO'!B402</f>
        <v>TE REDUCAO 90 GRAUS SOLDAVEL 40 X 32 mm</v>
      </c>
      <c r="E216" s="343">
        <f>'MEMÓRIA DE CÁLCULO'!D402</f>
        <v>16</v>
      </c>
      <c r="F216" s="341" t="s">
        <v>278</v>
      </c>
      <c r="G216" s="348"/>
      <c r="H216" s="348"/>
      <c r="I216" s="345">
        <f t="shared" si="28"/>
        <v>0</v>
      </c>
      <c r="J216" s="478">
        <f t="shared" si="37"/>
        <v>0</v>
      </c>
      <c r="K216" s="478">
        <f t="shared" si="38"/>
        <v>0</v>
      </c>
      <c r="L216" s="482">
        <f t="shared" si="36"/>
        <v>0</v>
      </c>
      <c r="M216" s="480"/>
    </row>
    <row r="217" spans="1:13" customFormat="1" ht="15.75" customHeight="1" x14ac:dyDescent="0.25">
      <c r="A217" s="340" t="s">
        <v>174</v>
      </c>
      <c r="B217" s="341" t="s">
        <v>9</v>
      </c>
      <c r="C217" s="350">
        <v>81425</v>
      </c>
      <c r="D217" s="342" t="str">
        <f>'MEMÓRIA DE CÁLCULO'!B403</f>
        <v>TE REDUCAO 90 GRAUS SOLDAVEL 50 X 32 mm</v>
      </c>
      <c r="E217" s="343">
        <f>'MEMÓRIA DE CÁLCULO'!D403</f>
        <v>1</v>
      </c>
      <c r="F217" s="341" t="s">
        <v>278</v>
      </c>
      <c r="G217" s="348"/>
      <c r="H217" s="348"/>
      <c r="I217" s="345">
        <f t="shared" si="28"/>
        <v>0</v>
      </c>
      <c r="J217" s="478">
        <f t="shared" si="37"/>
        <v>0</v>
      </c>
      <c r="K217" s="478">
        <f t="shared" si="38"/>
        <v>0</v>
      </c>
      <c r="L217" s="482">
        <f t="shared" si="36"/>
        <v>0</v>
      </c>
      <c r="M217" s="480"/>
    </row>
    <row r="218" spans="1:13" customFormat="1" ht="15" x14ac:dyDescent="0.25">
      <c r="A218" s="340" t="s">
        <v>175</v>
      </c>
      <c r="B218" s="341" t="s">
        <v>9</v>
      </c>
      <c r="C218" s="350">
        <v>81600</v>
      </c>
      <c r="D218" s="342" t="str">
        <f>'MEMÓRIA DE CÁLCULO'!B404</f>
        <v>E S G O T O S A N I T A R I O</v>
      </c>
      <c r="E218" s="343"/>
      <c r="F218" s="347"/>
      <c r="G218" s="348"/>
      <c r="H218" s="348"/>
      <c r="I218" s="345"/>
      <c r="J218" s="478">
        <f t="shared" si="37"/>
        <v>0</v>
      </c>
      <c r="K218" s="478">
        <f t="shared" si="38"/>
        <v>0</v>
      </c>
      <c r="L218" s="482"/>
      <c r="M218" s="480"/>
    </row>
    <row r="219" spans="1:13" customFormat="1" ht="15" x14ac:dyDescent="0.25">
      <c r="A219" s="340" t="s">
        <v>176</v>
      </c>
      <c r="B219" s="341" t="s">
        <v>9</v>
      </c>
      <c r="C219" s="350">
        <v>81601</v>
      </c>
      <c r="D219" s="342" t="str">
        <f>'MEMÓRIA DE CÁLCULO'!B405</f>
        <v>B U C H A S</v>
      </c>
      <c r="E219" s="343"/>
      <c r="F219" s="347"/>
      <c r="G219" s="348"/>
      <c r="H219" s="348"/>
      <c r="I219" s="345"/>
      <c r="J219" s="478">
        <f t="shared" si="37"/>
        <v>0</v>
      </c>
      <c r="K219" s="478">
        <f t="shared" si="38"/>
        <v>0</v>
      </c>
      <c r="L219" s="482"/>
      <c r="M219" s="480"/>
    </row>
    <row r="220" spans="1:13" customFormat="1" ht="15" x14ac:dyDescent="0.25">
      <c r="A220" s="340" t="s">
        <v>177</v>
      </c>
      <c r="B220" s="341" t="s">
        <v>9</v>
      </c>
      <c r="C220" s="350">
        <v>81602</v>
      </c>
      <c r="D220" s="342" t="str">
        <f>'MEMÓRIA DE CÁLCULO'!B406</f>
        <v>BUCHA DE REDUCAO LONGA DIAM. 50 X 40 MM</v>
      </c>
      <c r="E220" s="343">
        <f>'MEMÓRIA DE CÁLCULO'!D406</f>
        <v>6</v>
      </c>
      <c r="F220" s="347" t="s">
        <v>278</v>
      </c>
      <c r="G220" s="348"/>
      <c r="H220" s="348"/>
      <c r="I220" s="345">
        <f t="shared" ref="I220" si="40">(G220+H220)*E220</f>
        <v>0</v>
      </c>
      <c r="J220" s="478">
        <f t="shared" si="37"/>
        <v>0</v>
      </c>
      <c r="K220" s="478">
        <f t="shared" si="38"/>
        <v>0</v>
      </c>
      <c r="L220" s="482">
        <f t="shared" ref="L220" si="41">K220+J220</f>
        <v>0</v>
      </c>
      <c r="M220" s="480"/>
    </row>
    <row r="221" spans="1:13" customFormat="1" ht="15" x14ac:dyDescent="0.25">
      <c r="A221" s="340" t="s">
        <v>178</v>
      </c>
      <c r="B221" s="341" t="s">
        <v>9</v>
      </c>
      <c r="C221" s="350">
        <v>81660</v>
      </c>
      <c r="D221" s="342" t="str">
        <f>'MEMÓRIA DE CÁLCULO'!B407</f>
        <v>C O R P O DE C A I X A S I F O N A D A/R A L O</v>
      </c>
      <c r="E221" s="343"/>
      <c r="F221" s="347"/>
      <c r="G221" s="348"/>
      <c r="H221" s="348"/>
      <c r="I221" s="345"/>
      <c r="J221" s="478">
        <f t="shared" si="37"/>
        <v>0</v>
      </c>
      <c r="K221" s="478">
        <f t="shared" si="38"/>
        <v>0</v>
      </c>
      <c r="L221" s="482"/>
      <c r="M221" s="480"/>
    </row>
    <row r="222" spans="1:13" customFormat="1" ht="15" x14ac:dyDescent="0.25">
      <c r="A222" s="340" t="s">
        <v>179</v>
      </c>
      <c r="B222" s="341" t="s">
        <v>9</v>
      </c>
      <c r="C222" s="341">
        <v>81663</v>
      </c>
      <c r="D222" s="342" t="str">
        <f>'MEMÓRIA DE CÁLCULO'!B408</f>
        <v>CORPO CX. SIFONADA DIAM. 150 X 150 X 50</v>
      </c>
      <c r="E222" s="343">
        <f>'MEMÓRIA DE CÁLCULO'!D408</f>
        <v>33</v>
      </c>
      <c r="F222" s="341" t="s">
        <v>278</v>
      </c>
      <c r="G222" s="344"/>
      <c r="H222" s="344"/>
      <c r="I222" s="345">
        <f t="shared" ref="I222" si="42">(G222+H222)*E222</f>
        <v>0</v>
      </c>
      <c r="J222" s="478">
        <f t="shared" si="37"/>
        <v>0</v>
      </c>
      <c r="K222" s="478">
        <f t="shared" si="38"/>
        <v>0</v>
      </c>
      <c r="L222" s="482">
        <f t="shared" ref="L222" si="43">K222+J222</f>
        <v>0</v>
      </c>
      <c r="M222" s="480"/>
    </row>
    <row r="223" spans="1:13" customFormat="1" ht="15" x14ac:dyDescent="0.25">
      <c r="A223" s="340" t="s">
        <v>180</v>
      </c>
      <c r="B223" s="341" t="s">
        <v>9</v>
      </c>
      <c r="C223" s="341">
        <v>81664</v>
      </c>
      <c r="D223" s="342" t="str">
        <f>'MEMÓRIA DE CÁLCULO'!B409</f>
        <v>CORPO CX. SIFONADA DIAM. 150 X 185 X 75</v>
      </c>
      <c r="E223" s="343">
        <f>'MEMÓRIA DE CÁLCULO'!D409</f>
        <v>1</v>
      </c>
      <c r="F223" s="341" t="s">
        <v>278</v>
      </c>
      <c r="G223" s="344"/>
      <c r="H223" s="344"/>
      <c r="I223" s="345">
        <f t="shared" ref="I223:I224" si="44">(G223+H223)*E223</f>
        <v>0</v>
      </c>
      <c r="J223" s="478">
        <f t="shared" si="37"/>
        <v>0</v>
      </c>
      <c r="K223" s="478">
        <f t="shared" si="38"/>
        <v>0</v>
      </c>
      <c r="L223" s="482">
        <f t="shared" ref="L223:L224" si="45">K223+J223</f>
        <v>0</v>
      </c>
      <c r="M223" s="480"/>
    </row>
    <row r="224" spans="1:13" customFormat="1" ht="15" x14ac:dyDescent="0.25">
      <c r="A224" s="340" t="s">
        <v>181</v>
      </c>
      <c r="B224" s="341" t="s">
        <v>9</v>
      </c>
      <c r="C224" s="341">
        <v>81679</v>
      </c>
      <c r="D224" s="342" t="str">
        <f>'MEMÓRIA DE CÁLCULO'!B410</f>
        <v>CORPO RALO SIFONADO CONICO DIAM. 100 X 40</v>
      </c>
      <c r="E224" s="343">
        <f>'MEMÓRIA DE CÁLCULO'!D410</f>
        <v>24</v>
      </c>
      <c r="F224" s="341" t="s">
        <v>278</v>
      </c>
      <c r="G224" s="344"/>
      <c r="H224" s="344"/>
      <c r="I224" s="345">
        <f t="shared" si="44"/>
        <v>0</v>
      </c>
      <c r="J224" s="478">
        <f t="shared" si="37"/>
        <v>0</v>
      </c>
      <c r="K224" s="478">
        <f t="shared" si="38"/>
        <v>0</v>
      </c>
      <c r="L224" s="482">
        <f t="shared" si="45"/>
        <v>0</v>
      </c>
      <c r="M224" s="480"/>
    </row>
    <row r="225" spans="1:13" customFormat="1" ht="15" x14ac:dyDescent="0.25">
      <c r="A225" s="340" t="s">
        <v>182</v>
      </c>
      <c r="B225" s="341" t="s">
        <v>9</v>
      </c>
      <c r="C225" s="341">
        <v>81700</v>
      </c>
      <c r="D225" s="342" t="str">
        <f>'MEMÓRIA DE CÁLCULO'!B411</f>
        <v>C U R V A S</v>
      </c>
      <c r="E225" s="343"/>
      <c r="F225" s="341"/>
      <c r="G225" s="344"/>
      <c r="H225" s="344"/>
      <c r="I225" s="345"/>
      <c r="J225" s="478">
        <f t="shared" si="37"/>
        <v>0</v>
      </c>
      <c r="K225" s="478">
        <f t="shared" si="38"/>
        <v>0</v>
      </c>
      <c r="L225" s="482"/>
      <c r="M225" s="480"/>
    </row>
    <row r="226" spans="1:13" customFormat="1" ht="15" x14ac:dyDescent="0.25">
      <c r="A226" s="340" t="s">
        <v>183</v>
      </c>
      <c r="B226" s="341" t="s">
        <v>9</v>
      </c>
      <c r="C226" s="341">
        <v>81701</v>
      </c>
      <c r="D226" s="342" t="str">
        <f>'MEMÓRIA DE CÁLCULO'!B412</f>
        <v>CURVA 45 GRAUS DIAMETRO 40 MM</v>
      </c>
      <c r="E226" s="343">
        <f>'MEMÓRIA DE CÁLCULO'!D412</f>
        <v>4</v>
      </c>
      <c r="F226" s="341" t="s">
        <v>278</v>
      </c>
      <c r="G226" s="344"/>
      <c r="H226" s="344"/>
      <c r="I226" s="345">
        <f t="shared" ref="I226" si="46">(G226+H226)*E226</f>
        <v>0</v>
      </c>
      <c r="J226" s="478">
        <f t="shared" si="37"/>
        <v>0</v>
      </c>
      <c r="K226" s="478">
        <f t="shared" si="38"/>
        <v>0</v>
      </c>
      <c r="L226" s="482">
        <f t="shared" ref="L226" si="47">K226+J226</f>
        <v>0</v>
      </c>
      <c r="M226" s="480"/>
    </row>
    <row r="227" spans="1:13" customFormat="1" ht="15" x14ac:dyDescent="0.25">
      <c r="A227" s="340" t="s">
        <v>222</v>
      </c>
      <c r="B227" s="341" t="s">
        <v>9</v>
      </c>
      <c r="C227" s="341">
        <v>81702</v>
      </c>
      <c r="D227" s="342" t="str">
        <f>'MEMÓRIA DE CÁLCULO'!B413</f>
        <v>CURVA 45 GRAUS DIAMETRO 100 MM</v>
      </c>
      <c r="E227" s="343">
        <f>'MEMÓRIA DE CÁLCULO'!D413</f>
        <v>9</v>
      </c>
      <c r="F227" s="341" t="s">
        <v>278</v>
      </c>
      <c r="G227" s="344"/>
      <c r="H227" s="344"/>
      <c r="I227" s="345">
        <f t="shared" ref="I227" si="48">(G227+H227)*E227</f>
        <v>0</v>
      </c>
      <c r="J227" s="478">
        <f t="shared" si="37"/>
        <v>0</v>
      </c>
      <c r="K227" s="478">
        <f t="shared" si="38"/>
        <v>0</v>
      </c>
      <c r="L227" s="482">
        <f t="shared" ref="L227" si="49">K227+J227</f>
        <v>0</v>
      </c>
      <c r="M227" s="480"/>
    </row>
    <row r="228" spans="1:13" customFormat="1" ht="25.5" x14ac:dyDescent="0.25">
      <c r="A228" s="340" t="s">
        <v>223</v>
      </c>
      <c r="B228" s="341" t="s">
        <v>44</v>
      </c>
      <c r="C228" s="341">
        <v>89504</v>
      </c>
      <c r="D228" s="342" t="str">
        <f>'MEMÓRIA DE CÁLCULO'!B414</f>
        <v>CURVA 45 GRAUS, PVC, SOLDÁVEL, DN 50MM, INSTALADO EM PRUMADA DE ÁGUA -FORNECIMENTO E INSTALAÇÃO. AF_12/2014</v>
      </c>
      <c r="E228" s="343">
        <f>'MEMÓRIA DE CÁLCULO'!D414</f>
        <v>5</v>
      </c>
      <c r="F228" s="341" t="s">
        <v>278</v>
      </c>
      <c r="G228" s="504"/>
      <c r="H228" s="505"/>
      <c r="I228" s="345">
        <f t="shared" ref="I228:I231" si="50">(G228+H228)*E228</f>
        <v>0</v>
      </c>
      <c r="J228" s="478">
        <f t="shared" si="37"/>
        <v>0</v>
      </c>
      <c r="K228" s="478">
        <f t="shared" si="38"/>
        <v>0</v>
      </c>
      <c r="L228" s="482">
        <f t="shared" ref="L228:L231" si="51">K228+J228</f>
        <v>0</v>
      </c>
      <c r="M228" s="480"/>
    </row>
    <row r="229" spans="1:13" customFormat="1" ht="15" x14ac:dyDescent="0.25">
      <c r="A229" s="340" t="s">
        <v>224</v>
      </c>
      <c r="B229" s="341" t="s">
        <v>9</v>
      </c>
      <c r="C229" s="341">
        <v>81730</v>
      </c>
      <c r="D229" s="342" t="str">
        <f>'MEMÓRIA DE CÁLCULO'!B415</f>
        <v>CURVA 90 GRAUS CURTA DIAM. 40 MM</v>
      </c>
      <c r="E229" s="343">
        <f>'MEMÓRIA DE CÁLCULO'!D415</f>
        <v>90</v>
      </c>
      <c r="F229" s="341" t="s">
        <v>278</v>
      </c>
      <c r="G229" s="344"/>
      <c r="H229" s="344"/>
      <c r="I229" s="345">
        <f t="shared" si="50"/>
        <v>0</v>
      </c>
      <c r="J229" s="478">
        <f t="shared" si="37"/>
        <v>0</v>
      </c>
      <c r="K229" s="478">
        <f t="shared" si="38"/>
        <v>0</v>
      </c>
      <c r="L229" s="482">
        <f t="shared" si="51"/>
        <v>0</v>
      </c>
      <c r="M229" s="480"/>
    </row>
    <row r="230" spans="1:13" customFormat="1" ht="15" x14ac:dyDescent="0.25">
      <c r="A230" s="340" t="s">
        <v>225</v>
      </c>
      <c r="B230" s="341" t="s">
        <v>9</v>
      </c>
      <c r="C230" s="341">
        <v>81731</v>
      </c>
      <c r="D230" s="342" t="str">
        <f>'MEMÓRIA DE CÁLCULO'!B416</f>
        <v>CURVA 90 GRAUS CURTA DIAM. 50 MM</v>
      </c>
      <c r="E230" s="343">
        <f>'MEMÓRIA DE CÁLCULO'!D416</f>
        <v>12</v>
      </c>
      <c r="F230" s="341" t="s">
        <v>278</v>
      </c>
      <c r="G230" s="344"/>
      <c r="H230" s="344"/>
      <c r="I230" s="345">
        <f t="shared" si="50"/>
        <v>0</v>
      </c>
      <c r="J230" s="478">
        <f t="shared" si="37"/>
        <v>0</v>
      </c>
      <c r="K230" s="478">
        <f t="shared" si="38"/>
        <v>0</v>
      </c>
      <c r="L230" s="482">
        <f t="shared" si="51"/>
        <v>0</v>
      </c>
      <c r="M230" s="480"/>
    </row>
    <row r="231" spans="1:13" customFormat="1" ht="15" x14ac:dyDescent="0.25">
      <c r="A231" s="340" t="s">
        <v>226</v>
      </c>
      <c r="B231" s="341" t="s">
        <v>9</v>
      </c>
      <c r="C231" s="341">
        <v>81733</v>
      </c>
      <c r="D231" s="342" t="s">
        <v>1379</v>
      </c>
      <c r="E231" s="343">
        <f>'MEMÓRIA DE CÁLCULO'!D417</f>
        <v>38</v>
      </c>
      <c r="F231" s="341" t="s">
        <v>278</v>
      </c>
      <c r="G231" s="344"/>
      <c r="H231" s="344"/>
      <c r="I231" s="345">
        <f t="shared" si="50"/>
        <v>0</v>
      </c>
      <c r="J231" s="478">
        <f t="shared" si="37"/>
        <v>0</v>
      </c>
      <c r="K231" s="478">
        <f t="shared" si="38"/>
        <v>0</v>
      </c>
      <c r="L231" s="482">
        <f t="shared" si="51"/>
        <v>0</v>
      </c>
      <c r="M231" s="480"/>
    </row>
    <row r="232" spans="1:13" customFormat="1" ht="15" x14ac:dyDescent="0.25">
      <c r="A232" s="340" t="s">
        <v>227</v>
      </c>
      <c r="B232" s="341" t="s">
        <v>9</v>
      </c>
      <c r="C232" s="350">
        <v>81660</v>
      </c>
      <c r="D232" s="342" t="str">
        <f>'MEMÓRIA DE CÁLCULO'!B418</f>
        <v>G R E L H A S</v>
      </c>
      <c r="E232" s="343"/>
      <c r="F232" s="347"/>
      <c r="G232" s="348"/>
      <c r="H232" s="348"/>
      <c r="I232" s="345"/>
      <c r="J232" s="478">
        <f t="shared" si="37"/>
        <v>0</v>
      </c>
      <c r="K232" s="478">
        <f t="shared" si="38"/>
        <v>0</v>
      </c>
      <c r="L232" s="482">
        <f t="shared" si="36"/>
        <v>0</v>
      </c>
      <c r="M232" s="480"/>
    </row>
    <row r="233" spans="1:13" customFormat="1" ht="15" x14ac:dyDescent="0.25">
      <c r="A233" s="340" t="s">
        <v>472</v>
      </c>
      <c r="B233" s="341" t="s">
        <v>9</v>
      </c>
      <c r="C233" s="341">
        <v>81792</v>
      </c>
      <c r="D233" s="342" t="str">
        <f>'MEMÓRIA DE CÁLCULO'!B419</f>
        <v>GRELHA REDONDA CROMADA DIAM.100 MM</v>
      </c>
      <c r="E233" s="343">
        <f>'MEMÓRIA DE CÁLCULO'!D419</f>
        <v>31</v>
      </c>
      <c r="F233" s="341" t="s">
        <v>278</v>
      </c>
      <c r="G233" s="344"/>
      <c r="H233" s="344"/>
      <c r="I233" s="345">
        <f t="shared" si="28"/>
        <v>0</v>
      </c>
      <c r="J233" s="478">
        <f t="shared" si="37"/>
        <v>0</v>
      </c>
      <c r="K233" s="478">
        <f t="shared" si="38"/>
        <v>0</v>
      </c>
      <c r="L233" s="482">
        <f t="shared" si="36"/>
        <v>0</v>
      </c>
      <c r="M233" s="480"/>
    </row>
    <row r="234" spans="1:13" customFormat="1" ht="15" x14ac:dyDescent="0.25">
      <c r="A234" s="340" t="s">
        <v>473</v>
      </c>
      <c r="B234" s="341" t="s">
        <v>9</v>
      </c>
      <c r="C234" s="341">
        <v>81810</v>
      </c>
      <c r="D234" s="342" t="str">
        <f>'MEMÓRIA DE CÁLCULO'!B420</f>
        <v>D I V E R S O S</v>
      </c>
      <c r="E234" s="343"/>
      <c r="F234" s="341"/>
      <c r="G234" s="344"/>
      <c r="H234" s="344"/>
      <c r="I234" s="345"/>
      <c r="J234" s="478">
        <f t="shared" si="37"/>
        <v>0</v>
      </c>
      <c r="K234" s="478">
        <f t="shared" si="38"/>
        <v>0</v>
      </c>
      <c r="L234" s="482">
        <f t="shared" si="36"/>
        <v>0</v>
      </c>
      <c r="M234" s="480"/>
    </row>
    <row r="235" spans="1:13" customFormat="1" ht="15" x14ac:dyDescent="0.25">
      <c r="A235" s="340" t="s">
        <v>474</v>
      </c>
      <c r="B235" s="341" t="s">
        <v>9</v>
      </c>
      <c r="C235" s="341">
        <v>81811</v>
      </c>
      <c r="D235" s="342" t="str">
        <f>'MEMÓRIA DE CÁLCULO'!B421</f>
        <v xml:space="preserve">HIDROMETRO DIAM.RAMAL = 25 MM VAZAO =1,5 A 3 M3 </v>
      </c>
      <c r="E235" s="343">
        <f>'MEMÓRIA DE CÁLCULO'!D421</f>
        <v>1</v>
      </c>
      <c r="F235" s="341" t="s">
        <v>278</v>
      </c>
      <c r="G235" s="344"/>
      <c r="H235" s="344"/>
      <c r="I235" s="345">
        <f t="shared" si="28"/>
        <v>0</v>
      </c>
      <c r="J235" s="478">
        <f t="shared" si="37"/>
        <v>0</v>
      </c>
      <c r="K235" s="478">
        <f t="shared" si="38"/>
        <v>0</v>
      </c>
      <c r="L235" s="482">
        <f t="shared" si="36"/>
        <v>0</v>
      </c>
      <c r="M235" s="480"/>
    </row>
    <row r="236" spans="1:13" customFormat="1" ht="15" x14ac:dyDescent="0.25">
      <c r="A236" s="340" t="s">
        <v>475</v>
      </c>
      <c r="B236" s="341" t="s">
        <v>9</v>
      </c>
      <c r="C236" s="346">
        <v>81815</v>
      </c>
      <c r="D236" s="342" t="str">
        <f>'MEMÓRIA DE CÁLCULO'!B422</f>
        <v xml:space="preserve">KIT CAVALETE D=25MM P/HIDRÔMETRO 1,5-3,0-5,0 M3/MURETA/CAIXA </v>
      </c>
      <c r="E236" s="343">
        <f>'MEMÓRIA DE CÁLCULO'!D422</f>
        <v>1</v>
      </c>
      <c r="F236" s="341" t="s">
        <v>278</v>
      </c>
      <c r="G236" s="348"/>
      <c r="H236" s="349"/>
      <c r="I236" s="345">
        <f t="shared" si="28"/>
        <v>0</v>
      </c>
      <c r="J236" s="478">
        <f t="shared" si="37"/>
        <v>0</v>
      </c>
      <c r="K236" s="478">
        <f t="shared" si="38"/>
        <v>0</v>
      </c>
      <c r="L236" s="482">
        <f t="shared" si="36"/>
        <v>0</v>
      </c>
      <c r="M236" s="480"/>
    </row>
    <row r="237" spans="1:13" customFormat="1" ht="25.5" x14ac:dyDescent="0.25">
      <c r="A237" s="340" t="s">
        <v>476</v>
      </c>
      <c r="B237" s="341" t="s">
        <v>9</v>
      </c>
      <c r="C237" s="346">
        <v>81816</v>
      </c>
      <c r="D237" s="342" t="s">
        <v>1403</v>
      </c>
      <c r="E237" s="343">
        <f>'MEMÓRIA DE CÁLCULO'!D424</f>
        <v>2</v>
      </c>
      <c r="F237" s="341" t="s">
        <v>278</v>
      </c>
      <c r="G237" s="348"/>
      <c r="H237" s="349"/>
      <c r="I237" s="345">
        <f>(G237+H237)*E237</f>
        <v>0</v>
      </c>
      <c r="J237" s="478">
        <f t="shared" si="37"/>
        <v>0</v>
      </c>
      <c r="K237" s="478">
        <f t="shared" si="38"/>
        <v>0</v>
      </c>
      <c r="L237" s="482"/>
      <c r="M237" s="480"/>
    </row>
    <row r="238" spans="1:13" customFormat="1" ht="15" x14ac:dyDescent="0.25">
      <c r="A238" s="340" t="s">
        <v>477</v>
      </c>
      <c r="B238" s="341" t="s">
        <v>9</v>
      </c>
      <c r="C238" s="346">
        <v>81825</v>
      </c>
      <c r="D238" s="342" t="str">
        <f>'MEMÓRIA DE CÁLCULO'!B424</f>
        <v>CAIXA DE PASSAGEM 60 X 60 CM SEM TAMPA</v>
      </c>
      <c r="E238" s="343">
        <f>'MEMÓRIA DE CÁLCULO'!D424</f>
        <v>2</v>
      </c>
      <c r="F238" s="341" t="s">
        <v>278</v>
      </c>
      <c r="G238" s="348"/>
      <c r="H238" s="349"/>
      <c r="I238" s="345">
        <f t="shared" ref="I238:I239" si="52">(G238+H238)*E238</f>
        <v>0</v>
      </c>
      <c r="J238" s="478">
        <f t="shared" si="37"/>
        <v>0</v>
      </c>
      <c r="K238" s="478">
        <f t="shared" si="38"/>
        <v>0</v>
      </c>
      <c r="L238" s="482">
        <f t="shared" ref="L238:L239" si="53">K238+J238</f>
        <v>0</v>
      </c>
      <c r="M238" s="480"/>
    </row>
    <row r="239" spans="1:13" customFormat="1" ht="15" x14ac:dyDescent="0.25">
      <c r="A239" s="340" t="s">
        <v>478</v>
      </c>
      <c r="B239" s="341" t="s">
        <v>9</v>
      </c>
      <c r="C239" s="346">
        <v>81826</v>
      </c>
      <c r="D239" s="342" t="str">
        <f>'MEMÓRIA DE CÁLCULO'!B425</f>
        <v>TAMPA EM CONCRETO ARMADO 25 MPA E=5CM PARA A CAIXA DE PASSAGEM 60X60CM</v>
      </c>
      <c r="E239" s="343">
        <f>'MEMÓRIA DE CÁLCULO'!D425</f>
        <v>2</v>
      </c>
      <c r="F239" s="341" t="s">
        <v>278</v>
      </c>
      <c r="G239" s="348"/>
      <c r="H239" s="349"/>
      <c r="I239" s="345">
        <f t="shared" si="52"/>
        <v>0</v>
      </c>
      <c r="J239" s="478">
        <f t="shared" si="37"/>
        <v>0</v>
      </c>
      <c r="K239" s="478">
        <f t="shared" si="38"/>
        <v>0</v>
      </c>
      <c r="L239" s="482">
        <f t="shared" si="53"/>
        <v>0</v>
      </c>
      <c r="M239" s="480"/>
    </row>
    <row r="240" spans="1:13" customFormat="1" ht="15" x14ac:dyDescent="0.25">
      <c r="A240" s="340" t="s">
        <v>479</v>
      </c>
      <c r="B240" s="341" t="s">
        <v>9</v>
      </c>
      <c r="C240" s="346">
        <v>81829</v>
      </c>
      <c r="D240" s="342" t="str">
        <f>'MEMÓRIA DE CÁLCULO'!B426</f>
        <v xml:space="preserve">CAIXA DE INSPEÇÃO - TAMPA EM CONCRETO ARMADO 25 MPA E=5CM </v>
      </c>
      <c r="E240" s="343">
        <f>'MEMÓRIA DE CÁLCULO'!D426</f>
        <v>8.6</v>
      </c>
      <c r="F240" s="350" t="s">
        <v>15</v>
      </c>
      <c r="G240" s="348"/>
      <c r="H240" s="349"/>
      <c r="I240" s="345">
        <f t="shared" si="28"/>
        <v>0</v>
      </c>
      <c r="J240" s="478">
        <f t="shared" si="37"/>
        <v>0</v>
      </c>
      <c r="K240" s="478">
        <f t="shared" si="38"/>
        <v>0</v>
      </c>
      <c r="L240" s="482">
        <f t="shared" si="36"/>
        <v>0</v>
      </c>
      <c r="M240" s="480"/>
    </row>
    <row r="241" spans="1:13" customFormat="1" ht="31.5" customHeight="1" x14ac:dyDescent="0.25">
      <c r="A241" s="340" t="s">
        <v>480</v>
      </c>
      <c r="B241" s="341" t="s">
        <v>9</v>
      </c>
      <c r="C241" s="341">
        <v>81830</v>
      </c>
      <c r="D241" s="342" t="str">
        <f>'MEMÓRIA DE CÁLCULO'!B427</f>
        <v>CAIXA DE INSPEÇÃO - LASTRO DE CONCRETO (COM ADIÇÃO DE IMPERMEABILIZANTE) 20MPA E=5CM PARA O FUNDO</v>
      </c>
      <c r="E241" s="343">
        <f>'MEMÓRIA DE CÁLCULO'!D427</f>
        <v>0.43</v>
      </c>
      <c r="F241" s="341" t="s">
        <v>52</v>
      </c>
      <c r="G241" s="344"/>
      <c r="H241" s="344"/>
      <c r="I241" s="345">
        <f t="shared" si="28"/>
        <v>0</v>
      </c>
      <c r="J241" s="478">
        <f t="shared" si="37"/>
        <v>0</v>
      </c>
      <c r="K241" s="478">
        <f t="shared" si="38"/>
        <v>0</v>
      </c>
      <c r="L241" s="482">
        <f t="shared" si="36"/>
        <v>0</v>
      </c>
      <c r="M241" s="480"/>
    </row>
    <row r="242" spans="1:13" customFormat="1" ht="31.5" customHeight="1" x14ac:dyDescent="0.25">
      <c r="A242" s="340" t="s">
        <v>484</v>
      </c>
      <c r="B242" s="341" t="s">
        <v>9</v>
      </c>
      <c r="C242" s="346">
        <v>81831</v>
      </c>
      <c r="D242" s="342" t="str">
        <f>'MEMÓRIA DE CÁLCULO'!B428</f>
        <v>CAIXA DE INSPEÇÃO - ALVENARIA DE 1/2 VEZ COM REVESTIMENTO INTERNO EM REBOCO PAULISTA A-14 (COM ADIÇÃO DE IMPERMEABILIZANTE)</v>
      </c>
      <c r="E242" s="343">
        <f>'MEMÓRIA DE CÁLCULO'!D428</f>
        <v>8.6</v>
      </c>
      <c r="F242" s="350" t="s">
        <v>15</v>
      </c>
      <c r="G242" s="348"/>
      <c r="H242" s="349"/>
      <c r="I242" s="345">
        <f t="shared" si="28"/>
        <v>0</v>
      </c>
      <c r="J242" s="478">
        <f t="shared" si="37"/>
        <v>0</v>
      </c>
      <c r="K242" s="478">
        <f t="shared" si="38"/>
        <v>0</v>
      </c>
      <c r="L242" s="482">
        <f t="shared" si="36"/>
        <v>0</v>
      </c>
      <c r="M242" s="480"/>
    </row>
    <row r="243" spans="1:13" customFormat="1" ht="31.5" customHeight="1" x14ac:dyDescent="0.25">
      <c r="A243" s="340" t="s">
        <v>485</v>
      </c>
      <c r="B243" s="341" t="s">
        <v>9</v>
      </c>
      <c r="C243" s="341">
        <v>81833</v>
      </c>
      <c r="D243" s="342" t="str">
        <f>'MEMÓRIA DE CÁLCULO'!B429</f>
        <v xml:space="preserve">CAIXA DE INSPEÇÃO - ESCAVAÇÃO MANUAL / REATERRO/ APILOAMENTO DO FUNDO </v>
      </c>
      <c r="E243" s="343">
        <f>'MEMÓRIA DE CÁLCULO'!D429</f>
        <v>5.8000000000000007</v>
      </c>
      <c r="F243" s="341" t="s">
        <v>63</v>
      </c>
      <c r="G243" s="344"/>
      <c r="H243" s="344"/>
      <c r="I243" s="345">
        <f t="shared" si="28"/>
        <v>0</v>
      </c>
      <c r="J243" s="478">
        <f t="shared" si="37"/>
        <v>0</v>
      </c>
      <c r="K243" s="478">
        <f t="shared" si="38"/>
        <v>0</v>
      </c>
      <c r="L243" s="482">
        <f t="shared" si="36"/>
        <v>0</v>
      </c>
      <c r="M243" s="480"/>
    </row>
    <row r="244" spans="1:13" customFormat="1" ht="31.5" customHeight="1" x14ac:dyDescent="0.25">
      <c r="A244" s="340" t="s">
        <v>1392</v>
      </c>
      <c r="B244" s="341" t="s">
        <v>9</v>
      </c>
      <c r="C244" s="350">
        <v>81581</v>
      </c>
      <c r="D244" s="342" t="str">
        <f>'MEMÓRIA DE CÁLCULO'!B430</f>
        <v>CAIXA DE GORDURA 100 L CONCRETO PADRÃO GOINFRA IMPERMEABILIZADA</v>
      </c>
      <c r="E244" s="343">
        <f>'MEMÓRIA DE CÁLCULO'!D430</f>
        <v>1</v>
      </c>
      <c r="F244" s="341" t="s">
        <v>278</v>
      </c>
      <c r="G244" s="348"/>
      <c r="H244" s="348"/>
      <c r="I244" s="345">
        <f t="shared" si="28"/>
        <v>0</v>
      </c>
      <c r="J244" s="478">
        <f t="shared" si="37"/>
        <v>0</v>
      </c>
      <c r="K244" s="478">
        <f t="shared" si="38"/>
        <v>0</v>
      </c>
      <c r="L244" s="482">
        <f t="shared" si="36"/>
        <v>0</v>
      </c>
      <c r="M244" s="480"/>
    </row>
    <row r="245" spans="1:13" customFormat="1" ht="15.75" customHeight="1" x14ac:dyDescent="0.25">
      <c r="A245" s="340" t="s">
        <v>486</v>
      </c>
      <c r="B245" s="341" t="s">
        <v>9</v>
      </c>
      <c r="C245" s="350">
        <v>81861</v>
      </c>
      <c r="D245" s="342" t="str">
        <f>'MEMÓRIA DE CÁLCULO'!B431</f>
        <v>CAIXA DAGUA POLIETILENO 1000 LTS. C/TAMPA</v>
      </c>
      <c r="E245" s="343">
        <f>'MEMÓRIA DE CÁLCULO'!D431</f>
        <v>7</v>
      </c>
      <c r="F245" s="341" t="s">
        <v>278</v>
      </c>
      <c r="G245" s="348"/>
      <c r="H245" s="348"/>
      <c r="I245" s="345">
        <f t="shared" si="28"/>
        <v>0</v>
      </c>
      <c r="J245" s="478">
        <f t="shared" si="37"/>
        <v>0</v>
      </c>
      <c r="K245" s="478">
        <f t="shared" si="38"/>
        <v>0</v>
      </c>
      <c r="L245" s="482">
        <f t="shared" si="36"/>
        <v>0</v>
      </c>
      <c r="M245" s="480"/>
    </row>
    <row r="246" spans="1:13" customFormat="1" ht="15" x14ac:dyDescent="0.25">
      <c r="A246" s="340" t="s">
        <v>487</v>
      </c>
      <c r="B246" s="351" t="s">
        <v>9</v>
      </c>
      <c r="C246" s="346">
        <v>81881</v>
      </c>
      <c r="D246" s="352" t="s">
        <v>1378</v>
      </c>
      <c r="E246" s="353">
        <f>'MEMÓRIA DE CÁLCULO'!D432</f>
        <v>1</v>
      </c>
      <c r="F246" s="351" t="s">
        <v>278</v>
      </c>
      <c r="G246" s="348"/>
      <c r="H246" s="348"/>
      <c r="I246" s="354">
        <f t="shared" si="28"/>
        <v>0</v>
      </c>
      <c r="J246" s="478">
        <f t="shared" si="37"/>
        <v>0</v>
      </c>
      <c r="K246" s="478">
        <f t="shared" si="38"/>
        <v>0</v>
      </c>
      <c r="L246" s="482">
        <f t="shared" si="36"/>
        <v>0</v>
      </c>
      <c r="M246" s="480"/>
    </row>
    <row r="247" spans="1:13" customFormat="1" ht="15" x14ac:dyDescent="0.25">
      <c r="A247" s="340" t="s">
        <v>488</v>
      </c>
      <c r="B247" s="341" t="s">
        <v>9</v>
      </c>
      <c r="C247" s="346">
        <v>81885</v>
      </c>
      <c r="D247" s="342" t="str">
        <f>'MEMÓRIA DE CÁLCULO'!B433</f>
        <v>TERMINAL DE VENTILACAO DIAMETRO 50 MM</v>
      </c>
      <c r="E247" s="343">
        <f>'MEMÓRIA DE CÁLCULO'!D433</f>
        <v>13</v>
      </c>
      <c r="F247" s="341" t="s">
        <v>278</v>
      </c>
      <c r="G247" s="348"/>
      <c r="H247" s="348"/>
      <c r="I247" s="345">
        <f t="shared" si="28"/>
        <v>0</v>
      </c>
      <c r="J247" s="478">
        <f t="shared" si="37"/>
        <v>0</v>
      </c>
      <c r="K247" s="478">
        <f t="shared" si="38"/>
        <v>0</v>
      </c>
      <c r="L247" s="482">
        <f t="shared" si="36"/>
        <v>0</v>
      </c>
      <c r="M247" s="480"/>
    </row>
    <row r="248" spans="1:13" customFormat="1" ht="15" x14ac:dyDescent="0.25">
      <c r="A248" s="340" t="s">
        <v>489</v>
      </c>
      <c r="B248" s="341" t="s">
        <v>9</v>
      </c>
      <c r="C248" s="346">
        <v>81889</v>
      </c>
      <c r="D248" s="342" t="str">
        <f>'MEMÓRIA DE CÁLCULO'!B434</f>
        <v>TORNEIRA BOIA DIAMETRO 1" (25 MM )</v>
      </c>
      <c r="E248" s="343">
        <f>'MEMÓRIA DE CÁLCULO'!D434</f>
        <v>1</v>
      </c>
      <c r="F248" s="341" t="s">
        <v>278</v>
      </c>
      <c r="G248" s="348"/>
      <c r="H248" s="348"/>
      <c r="I248" s="345">
        <f>(G248+H248)*E248</f>
        <v>0</v>
      </c>
      <c r="J248" s="478">
        <f t="shared" si="37"/>
        <v>0</v>
      </c>
      <c r="K248" s="478">
        <f t="shared" si="38"/>
        <v>0</v>
      </c>
      <c r="L248" s="482">
        <f t="shared" si="36"/>
        <v>0</v>
      </c>
      <c r="M248" s="480"/>
    </row>
    <row r="249" spans="1:13" customFormat="1" ht="15" x14ac:dyDescent="0.25">
      <c r="A249" s="340" t="s">
        <v>490</v>
      </c>
      <c r="B249" s="341" t="s">
        <v>9</v>
      </c>
      <c r="C249" s="346">
        <v>81890</v>
      </c>
      <c r="D249" s="342" t="str">
        <f>'MEMÓRIA DE CÁLCULO'!B435</f>
        <v>TORNEIRA BOIA DIAMETRO 1.1/4" - 32 MM</v>
      </c>
      <c r="E249" s="343">
        <f>'MEMÓRIA DE CÁLCULO'!D435</f>
        <v>7</v>
      </c>
      <c r="F249" s="341" t="s">
        <v>278</v>
      </c>
      <c r="G249" s="348"/>
      <c r="H249" s="348"/>
      <c r="I249" s="345">
        <f t="shared" ref="I249:I282" si="54">(G249+H249)*E249</f>
        <v>0</v>
      </c>
      <c r="J249" s="478">
        <f t="shared" si="37"/>
        <v>0</v>
      </c>
      <c r="K249" s="478">
        <f t="shared" si="38"/>
        <v>0</v>
      </c>
      <c r="L249" s="482">
        <f t="shared" si="36"/>
        <v>0</v>
      </c>
      <c r="M249" s="480"/>
    </row>
    <row r="250" spans="1:13" customFormat="1" ht="15" x14ac:dyDescent="0.25">
      <c r="A250" s="340" t="s">
        <v>491</v>
      </c>
      <c r="B250" s="341" t="s">
        <v>481</v>
      </c>
      <c r="C250" s="346" t="s">
        <v>482</v>
      </c>
      <c r="D250" s="342" t="str">
        <f>'MEMÓRIA DE CÁLCULO'!B436</f>
        <v>BEBEDOURO ELETRICO PRESSAO IBBL BAG 40 OU EQUIVALENTE</v>
      </c>
      <c r="E250" s="343">
        <f>'MEMÓRIA DE CÁLCULO'!D436</f>
        <v>5</v>
      </c>
      <c r="F250" s="341" t="s">
        <v>278</v>
      </c>
      <c r="G250" s="348"/>
      <c r="H250" s="348"/>
      <c r="I250" s="345">
        <f t="shared" si="54"/>
        <v>0</v>
      </c>
      <c r="J250" s="478">
        <f t="shared" si="37"/>
        <v>0</v>
      </c>
      <c r="K250" s="478">
        <f t="shared" si="38"/>
        <v>0</v>
      </c>
      <c r="L250" s="482">
        <f t="shared" si="36"/>
        <v>0</v>
      </c>
      <c r="M250" s="480"/>
    </row>
    <row r="251" spans="1:13" customFormat="1" ht="25.5" x14ac:dyDescent="0.25">
      <c r="A251" s="340" t="s">
        <v>492</v>
      </c>
      <c r="B251" s="341" t="s">
        <v>483</v>
      </c>
      <c r="C251" s="346">
        <v>1402</v>
      </c>
      <c r="D251" s="342" t="str">
        <f>'MEMÓRIA DE CÁLCULO'!B437</f>
        <v>COLAR TOMADA PVC, COM TRAVAS, SAIDA COM ROSCA, DE 32 MM X 1/2" OU 32 MM X 3/4", PARA LIGACAO PREDIAL DE AGUA</v>
      </c>
      <c r="E251" s="343">
        <f>'MEMÓRIA DE CÁLCULO'!D437</f>
        <v>1</v>
      </c>
      <c r="F251" s="341" t="s">
        <v>278</v>
      </c>
      <c r="G251" s="348"/>
      <c r="H251" s="348"/>
      <c r="I251" s="345">
        <f>(G251+H251)*E251</f>
        <v>0</v>
      </c>
      <c r="J251" s="478">
        <f t="shared" si="37"/>
        <v>0</v>
      </c>
      <c r="K251" s="478">
        <f t="shared" si="38"/>
        <v>0</v>
      </c>
      <c r="L251" s="482">
        <f t="shared" si="36"/>
        <v>0</v>
      </c>
      <c r="M251" s="480"/>
    </row>
    <row r="252" spans="1:13" customFormat="1" ht="15" x14ac:dyDescent="0.25">
      <c r="A252" s="340" t="s">
        <v>493</v>
      </c>
      <c r="B252" s="341" t="s">
        <v>1121</v>
      </c>
      <c r="C252" s="346" t="s">
        <v>1124</v>
      </c>
      <c r="D252" s="342" t="str">
        <f>'MEMÓRIA DE CÁLCULO'!B438</f>
        <v>CAIXA DE PASSAGEM ESGOTO 42 X 35 X 44</v>
      </c>
      <c r="E252" s="343">
        <f>'MEMÓRIA DE CÁLCULO'!D438</f>
        <v>7</v>
      </c>
      <c r="F252" s="341" t="s">
        <v>278</v>
      </c>
      <c r="G252" s="506"/>
      <c r="H252" s="507"/>
      <c r="I252" s="345">
        <f>(G252+H252)*E252</f>
        <v>0</v>
      </c>
      <c r="J252" s="478">
        <f t="shared" si="37"/>
        <v>0</v>
      </c>
      <c r="K252" s="478">
        <f t="shared" si="38"/>
        <v>0</v>
      </c>
      <c r="L252" s="482">
        <f t="shared" ref="L252" si="55">K252+J252</f>
        <v>0</v>
      </c>
      <c r="M252" s="480"/>
    </row>
    <row r="253" spans="1:13" customFormat="1" ht="15" x14ac:dyDescent="0.25">
      <c r="A253" s="340" t="s">
        <v>494</v>
      </c>
      <c r="B253" s="341" t="s">
        <v>9</v>
      </c>
      <c r="C253" s="350">
        <v>81920</v>
      </c>
      <c r="D253" s="342" t="str">
        <f>'MEMÓRIA DE CÁLCULO'!B439</f>
        <v>J O E L H O S</v>
      </c>
      <c r="E253" s="343"/>
      <c r="F253" s="350"/>
      <c r="G253" s="348"/>
      <c r="H253" s="348"/>
      <c r="I253" s="345"/>
      <c r="J253" s="478">
        <f t="shared" si="37"/>
        <v>0</v>
      </c>
      <c r="K253" s="478">
        <f t="shared" si="38"/>
        <v>0</v>
      </c>
      <c r="L253" s="482"/>
      <c r="M253" s="480"/>
    </row>
    <row r="254" spans="1:13" customFormat="1" ht="15.75" customHeight="1" x14ac:dyDescent="0.25">
      <c r="A254" s="340" t="s">
        <v>495</v>
      </c>
      <c r="B254" s="341" t="s">
        <v>9</v>
      </c>
      <c r="C254" s="350">
        <v>81927</v>
      </c>
      <c r="D254" s="342" t="str">
        <f>'MEMÓRIA DE CÁLCULO'!B440</f>
        <v xml:space="preserve">JOELHO 90 GRAUS C/ANEL 40 mm </v>
      </c>
      <c r="E254" s="343">
        <f>'MEMÓRIA DE CÁLCULO'!D440</f>
        <v>64</v>
      </c>
      <c r="F254" s="341" t="s">
        <v>278</v>
      </c>
      <c r="G254" s="348"/>
      <c r="H254" s="348"/>
      <c r="I254" s="345">
        <f t="shared" si="54"/>
        <v>0</v>
      </c>
      <c r="J254" s="478">
        <f t="shared" si="37"/>
        <v>0</v>
      </c>
      <c r="K254" s="478">
        <f t="shared" si="38"/>
        <v>0</v>
      </c>
      <c r="L254" s="482">
        <f t="shared" si="36"/>
        <v>0</v>
      </c>
      <c r="M254" s="480"/>
    </row>
    <row r="255" spans="1:13" customFormat="1" ht="15" x14ac:dyDescent="0.25">
      <c r="A255" s="340" t="s">
        <v>496</v>
      </c>
      <c r="B255" s="341" t="s">
        <v>9</v>
      </c>
      <c r="C255" s="350">
        <v>81935</v>
      </c>
      <c r="D255" s="342" t="str">
        <f>'MEMÓRIA DE CÁLCULO'!B441</f>
        <v xml:space="preserve">JOELHO 90 GRAUS DIAMETRO 40 MM </v>
      </c>
      <c r="E255" s="343">
        <f>'MEMÓRIA DE CÁLCULO'!D441</f>
        <v>2</v>
      </c>
      <c r="F255" s="341" t="s">
        <v>278</v>
      </c>
      <c r="G255" s="348"/>
      <c r="H255" s="348"/>
      <c r="I255" s="345">
        <f t="shared" si="54"/>
        <v>0</v>
      </c>
      <c r="J255" s="478">
        <f t="shared" si="37"/>
        <v>0</v>
      </c>
      <c r="K255" s="478">
        <f t="shared" si="38"/>
        <v>0</v>
      </c>
      <c r="L255" s="482">
        <f t="shared" si="36"/>
        <v>0</v>
      </c>
      <c r="M255" s="480"/>
    </row>
    <row r="256" spans="1:13" customFormat="1" ht="15" x14ac:dyDescent="0.25">
      <c r="A256" s="340" t="s">
        <v>497</v>
      </c>
      <c r="B256" s="341" t="s">
        <v>9</v>
      </c>
      <c r="C256" s="350">
        <v>81936</v>
      </c>
      <c r="D256" s="342" t="str">
        <f>'MEMÓRIA DE CÁLCULO'!B442</f>
        <v xml:space="preserve">JOELHO 90 GRAUS DIAMETRO 50 MM </v>
      </c>
      <c r="E256" s="343">
        <f>'MEMÓRIA DE CÁLCULO'!D442</f>
        <v>61</v>
      </c>
      <c r="F256" s="341" t="s">
        <v>278</v>
      </c>
      <c r="G256" s="344"/>
      <c r="H256" s="344"/>
      <c r="I256" s="345">
        <f t="shared" si="54"/>
        <v>0</v>
      </c>
      <c r="J256" s="478">
        <f t="shared" si="37"/>
        <v>0</v>
      </c>
      <c r="K256" s="478">
        <f t="shared" si="38"/>
        <v>0</v>
      </c>
      <c r="L256" s="482">
        <f t="shared" si="36"/>
        <v>0</v>
      </c>
      <c r="M256" s="480"/>
    </row>
    <row r="257" spans="1:13" customFormat="1" ht="15" x14ac:dyDescent="0.25">
      <c r="A257" s="340" t="s">
        <v>498</v>
      </c>
      <c r="B257" s="341" t="s">
        <v>9</v>
      </c>
      <c r="C257" s="350">
        <v>81938</v>
      </c>
      <c r="D257" s="342" t="str">
        <f>'MEMÓRIA DE CÁLCULO'!B443</f>
        <v>JOELHO 90 GRAUS DIAMETRO 100 MM</v>
      </c>
      <c r="E257" s="343">
        <f>'MEMÓRIA DE CÁLCULO'!D443</f>
        <v>17</v>
      </c>
      <c r="F257" s="341" t="s">
        <v>278</v>
      </c>
      <c r="G257" s="348"/>
      <c r="H257" s="348"/>
      <c r="I257" s="345">
        <f t="shared" ref="I257" si="56">(G257+H257)*E257</f>
        <v>0</v>
      </c>
      <c r="J257" s="478">
        <f t="shared" si="37"/>
        <v>0</v>
      </c>
      <c r="K257" s="478">
        <f t="shared" si="38"/>
        <v>0</v>
      </c>
      <c r="L257" s="482">
        <f t="shared" ref="L257" si="57">K257+J257</f>
        <v>0</v>
      </c>
      <c r="M257" s="480"/>
    </row>
    <row r="258" spans="1:13" customFormat="1" ht="15" x14ac:dyDescent="0.25">
      <c r="A258" s="340" t="s">
        <v>499</v>
      </c>
      <c r="B258" s="341" t="s">
        <v>9</v>
      </c>
      <c r="C258" s="350">
        <v>81923</v>
      </c>
      <c r="D258" s="342" t="str">
        <f>'MEMÓRIA DE CÁLCULO'!B444</f>
        <v>JOELHO 45 GRAUS DIAMETRO 75 MM</v>
      </c>
      <c r="E258" s="343">
        <f>'MEMÓRIA DE CÁLCULO'!D444</f>
        <v>1</v>
      </c>
      <c r="F258" s="341" t="s">
        <v>278</v>
      </c>
      <c r="G258" s="348"/>
      <c r="H258" s="348"/>
      <c r="I258" s="345">
        <f t="shared" si="54"/>
        <v>0</v>
      </c>
      <c r="J258" s="478">
        <f t="shared" si="37"/>
        <v>0</v>
      </c>
      <c r="K258" s="478">
        <f t="shared" si="38"/>
        <v>0</v>
      </c>
      <c r="L258" s="482">
        <f t="shared" si="36"/>
        <v>0</v>
      </c>
      <c r="M258" s="480"/>
    </row>
    <row r="259" spans="1:13" customFormat="1" ht="15" x14ac:dyDescent="0.25">
      <c r="A259" s="340" t="s">
        <v>500</v>
      </c>
      <c r="B259" s="341" t="s">
        <v>9</v>
      </c>
      <c r="C259" s="350">
        <v>81924</v>
      </c>
      <c r="D259" s="342" t="str">
        <f>'MEMÓRIA DE CÁLCULO'!B445</f>
        <v>JOELHO 45 GRAUS DIAMETRO 100 MM</v>
      </c>
      <c r="E259" s="343">
        <f>'MEMÓRIA DE CÁLCULO'!D445</f>
        <v>1</v>
      </c>
      <c r="F259" s="341" t="s">
        <v>278</v>
      </c>
      <c r="G259" s="348"/>
      <c r="H259" s="348"/>
      <c r="I259" s="345">
        <f t="shared" si="54"/>
        <v>0</v>
      </c>
      <c r="J259" s="478">
        <f t="shared" si="37"/>
        <v>0</v>
      </c>
      <c r="K259" s="478">
        <f t="shared" si="38"/>
        <v>0</v>
      </c>
      <c r="L259" s="482">
        <f t="shared" si="36"/>
        <v>0</v>
      </c>
      <c r="M259" s="480"/>
    </row>
    <row r="260" spans="1:13" customFormat="1" ht="15" x14ac:dyDescent="0.25">
      <c r="A260" s="340" t="s">
        <v>501</v>
      </c>
      <c r="B260" s="341" t="s">
        <v>9</v>
      </c>
      <c r="C260" s="346">
        <v>81921</v>
      </c>
      <c r="D260" s="342" t="str">
        <f>'MEMÓRIA DE CÁLCULO'!B446</f>
        <v>JOELHO 45 GRAUS DIAMETRO 40 MM</v>
      </c>
      <c r="E260" s="343">
        <f>'MEMÓRIA DE CÁLCULO'!D446</f>
        <v>28</v>
      </c>
      <c r="F260" s="341" t="s">
        <v>278</v>
      </c>
      <c r="G260" s="355"/>
      <c r="H260" s="355"/>
      <c r="I260" s="345">
        <f t="shared" si="54"/>
        <v>0</v>
      </c>
      <c r="J260" s="478">
        <f t="shared" si="37"/>
        <v>0</v>
      </c>
      <c r="K260" s="478">
        <f t="shared" si="38"/>
        <v>0</v>
      </c>
      <c r="L260" s="482">
        <f t="shared" si="36"/>
        <v>0</v>
      </c>
      <c r="M260" s="480"/>
    </row>
    <row r="261" spans="1:13" customFormat="1" ht="15" x14ac:dyDescent="0.25">
      <c r="A261" s="340" t="s">
        <v>1393</v>
      </c>
      <c r="B261" s="341" t="s">
        <v>9</v>
      </c>
      <c r="C261" s="346">
        <v>81922</v>
      </c>
      <c r="D261" s="342" t="str">
        <f>'MEMÓRIA DE CÁLCULO'!B447</f>
        <v>JOELHO 45 GRAUS DIAMETRO 50 MM</v>
      </c>
      <c r="E261" s="343">
        <f>'MEMÓRIA DE CÁLCULO'!D447</f>
        <v>15</v>
      </c>
      <c r="F261" s="341" t="s">
        <v>278</v>
      </c>
      <c r="G261" s="355"/>
      <c r="H261" s="355"/>
      <c r="I261" s="345">
        <f t="shared" si="54"/>
        <v>0</v>
      </c>
      <c r="J261" s="478">
        <f t="shared" si="37"/>
        <v>0</v>
      </c>
      <c r="K261" s="478">
        <f t="shared" si="38"/>
        <v>0</v>
      </c>
      <c r="L261" s="482">
        <f t="shared" si="36"/>
        <v>0</v>
      </c>
      <c r="M261" s="480"/>
    </row>
    <row r="262" spans="1:13" customFormat="1" ht="15" x14ac:dyDescent="0.25">
      <c r="A262" s="340" t="s">
        <v>502</v>
      </c>
      <c r="B262" s="341" t="s">
        <v>9</v>
      </c>
      <c r="C262" s="350">
        <v>81960</v>
      </c>
      <c r="D262" s="342" t="str">
        <f>'MEMÓRIA DE CÁLCULO'!B448</f>
        <v>J U N C O E S</v>
      </c>
      <c r="E262" s="343"/>
      <c r="F262" s="350"/>
      <c r="G262" s="348"/>
      <c r="H262" s="348"/>
      <c r="I262" s="345"/>
      <c r="J262" s="478">
        <f t="shared" si="37"/>
        <v>0</v>
      </c>
      <c r="K262" s="478">
        <f t="shared" si="38"/>
        <v>0</v>
      </c>
      <c r="L262" s="482"/>
      <c r="M262" s="480"/>
    </row>
    <row r="263" spans="1:13" customFormat="1" ht="15" x14ac:dyDescent="0.25">
      <c r="A263" s="340" t="s">
        <v>503</v>
      </c>
      <c r="B263" s="341" t="s">
        <v>9</v>
      </c>
      <c r="C263" s="350">
        <v>81961</v>
      </c>
      <c r="D263" s="342" t="str">
        <f>'MEMÓRIA DE CÁLCULO'!B449</f>
        <v>JUNCAO 45 GRAUS DIAMETRO 40 MM</v>
      </c>
      <c r="E263" s="343">
        <f>'MEMÓRIA DE CÁLCULO'!D449</f>
        <v>13</v>
      </c>
      <c r="F263" s="341" t="s">
        <v>278</v>
      </c>
      <c r="G263" s="348"/>
      <c r="H263" s="348"/>
      <c r="I263" s="345">
        <f t="shared" ref="I263" si="58">(G263+H263)*E263</f>
        <v>0</v>
      </c>
      <c r="J263" s="478">
        <f t="shared" si="37"/>
        <v>0</v>
      </c>
      <c r="K263" s="478">
        <f t="shared" si="38"/>
        <v>0</v>
      </c>
      <c r="L263" s="482">
        <f t="shared" ref="L263" si="59">K263+J263</f>
        <v>0</v>
      </c>
      <c r="M263" s="480"/>
    </row>
    <row r="264" spans="1:13" customFormat="1" ht="15" x14ac:dyDescent="0.25">
      <c r="A264" s="340" t="s">
        <v>504</v>
      </c>
      <c r="B264" s="341" t="s">
        <v>9</v>
      </c>
      <c r="C264" s="350">
        <v>81970</v>
      </c>
      <c r="D264" s="342" t="str">
        <f>'MEMÓRIA DE CÁLCULO'!B450</f>
        <v>JUNCAO SIMPLES DIAMETRO 50 X 50 MM</v>
      </c>
      <c r="E264" s="343">
        <f>'MEMÓRIA DE CÁLCULO'!D450</f>
        <v>8</v>
      </c>
      <c r="F264" s="341" t="s">
        <v>278</v>
      </c>
      <c r="G264" s="348"/>
      <c r="H264" s="348"/>
      <c r="I264" s="345">
        <f t="shared" ref="I264" si="60">(G264+H264)*E264</f>
        <v>0</v>
      </c>
      <c r="J264" s="478">
        <f t="shared" si="37"/>
        <v>0</v>
      </c>
      <c r="K264" s="478">
        <f t="shared" si="38"/>
        <v>0</v>
      </c>
      <c r="L264" s="482">
        <f t="shared" ref="L264" si="61">K264+J264</f>
        <v>0</v>
      </c>
      <c r="M264" s="480"/>
    </row>
    <row r="265" spans="1:13" customFormat="1" ht="15" x14ac:dyDescent="0.25">
      <c r="A265" s="340" t="s">
        <v>1394</v>
      </c>
      <c r="B265" s="341" t="s">
        <v>9</v>
      </c>
      <c r="C265" s="350">
        <v>81971</v>
      </c>
      <c r="D265" s="342" t="str">
        <f>'MEMÓRIA DE CÁLCULO'!B451</f>
        <v>JUNCAO SIMPLES DIAM. 75 X 50 MM</v>
      </c>
      <c r="E265" s="343">
        <f>'MEMÓRIA DE CÁLCULO'!D451</f>
        <v>8</v>
      </c>
      <c r="F265" s="341" t="s">
        <v>278</v>
      </c>
      <c r="G265" s="348"/>
      <c r="H265" s="348"/>
      <c r="I265" s="345">
        <f t="shared" ref="I265" si="62">(G265+H265)*E265</f>
        <v>0</v>
      </c>
      <c r="J265" s="478">
        <f t="shared" si="37"/>
        <v>0</v>
      </c>
      <c r="K265" s="478">
        <f t="shared" si="38"/>
        <v>0</v>
      </c>
      <c r="L265" s="482">
        <f t="shared" ref="L265" si="63">K265+J265</f>
        <v>0</v>
      </c>
      <c r="M265" s="480"/>
    </row>
    <row r="266" spans="1:13" customFormat="1" ht="15" x14ac:dyDescent="0.25">
      <c r="A266" s="340" t="s">
        <v>1395</v>
      </c>
      <c r="B266" s="341" t="s">
        <v>9</v>
      </c>
      <c r="C266" s="341">
        <v>81973</v>
      </c>
      <c r="D266" s="342" t="str">
        <f>'MEMÓRIA DE CÁLCULO'!B452</f>
        <v xml:space="preserve">JUNCAO SIMPLES DIAM. 100 X 50 MM </v>
      </c>
      <c r="E266" s="343">
        <f>'MEMÓRIA DE CÁLCULO'!D452</f>
        <v>16</v>
      </c>
      <c r="F266" s="341" t="s">
        <v>278</v>
      </c>
      <c r="G266" s="344"/>
      <c r="H266" s="344"/>
      <c r="I266" s="345">
        <f t="shared" si="54"/>
        <v>0</v>
      </c>
      <c r="J266" s="478">
        <f t="shared" si="37"/>
        <v>0</v>
      </c>
      <c r="K266" s="478">
        <f t="shared" si="38"/>
        <v>0</v>
      </c>
      <c r="L266" s="482">
        <f t="shared" si="36"/>
        <v>0</v>
      </c>
      <c r="M266" s="480"/>
    </row>
    <row r="267" spans="1:13" customFormat="1" ht="15" x14ac:dyDescent="0.25">
      <c r="A267" s="340" t="s">
        <v>606</v>
      </c>
      <c r="B267" s="341" t="s">
        <v>9</v>
      </c>
      <c r="C267" s="341">
        <v>81975</v>
      </c>
      <c r="D267" s="342" t="str">
        <f>'MEMÓRIA DE CÁLCULO'!B453</f>
        <v>JUNCAO SIMPLES DIAM. 100 X 100 MM</v>
      </c>
      <c r="E267" s="343">
        <f>'MEMÓRIA DE CÁLCULO'!D453</f>
        <v>4</v>
      </c>
      <c r="F267" s="341" t="s">
        <v>278</v>
      </c>
      <c r="G267" s="344"/>
      <c r="H267" s="344"/>
      <c r="I267" s="345">
        <f t="shared" ref="I267" si="64">(G267+H267)*E267</f>
        <v>0</v>
      </c>
      <c r="J267" s="478">
        <f t="shared" si="37"/>
        <v>0</v>
      </c>
      <c r="K267" s="478">
        <f t="shared" si="38"/>
        <v>0</v>
      </c>
      <c r="L267" s="482">
        <f t="shared" ref="L267" si="65">K267+J267</f>
        <v>0</v>
      </c>
      <c r="M267" s="480"/>
    </row>
    <row r="268" spans="1:13" customFormat="1" ht="15" x14ac:dyDescent="0.25">
      <c r="A268" s="340" t="s">
        <v>607</v>
      </c>
      <c r="B268" s="341" t="s">
        <v>9</v>
      </c>
      <c r="C268" s="350">
        <v>82000</v>
      </c>
      <c r="D268" s="342" t="str">
        <f>'MEMÓRIA DE CÁLCULO'!B454</f>
        <v>LUVAS</v>
      </c>
      <c r="E268" s="343"/>
      <c r="F268" s="350"/>
      <c r="G268" s="348"/>
      <c r="H268" s="348"/>
      <c r="I268" s="345"/>
      <c r="J268" s="478">
        <f t="shared" si="37"/>
        <v>0</v>
      </c>
      <c r="K268" s="478">
        <f t="shared" si="38"/>
        <v>0</v>
      </c>
      <c r="L268" s="482"/>
      <c r="M268" s="480"/>
    </row>
    <row r="269" spans="1:13" customFormat="1" ht="15" x14ac:dyDescent="0.25">
      <c r="A269" s="340" t="s">
        <v>608</v>
      </c>
      <c r="B269" s="341" t="s">
        <v>9</v>
      </c>
      <c r="C269" s="341">
        <v>82002</v>
      </c>
      <c r="D269" s="342" t="str">
        <f>'MEMÓRIA DE CÁLCULO'!B455</f>
        <v>LUVA SIMPLES DIAMETRO 50 MM</v>
      </c>
      <c r="E269" s="343">
        <f>'MEMÓRIA DE CÁLCULO'!D455</f>
        <v>4</v>
      </c>
      <c r="F269" s="341" t="s">
        <v>278</v>
      </c>
      <c r="G269" s="355"/>
      <c r="H269" s="348"/>
      <c r="I269" s="345">
        <f t="shared" si="54"/>
        <v>0</v>
      </c>
      <c r="J269" s="478">
        <f t="shared" si="37"/>
        <v>0</v>
      </c>
      <c r="K269" s="478">
        <f t="shared" si="38"/>
        <v>0</v>
      </c>
      <c r="L269" s="482">
        <f t="shared" si="36"/>
        <v>0</v>
      </c>
      <c r="M269" s="480"/>
    </row>
    <row r="270" spans="1:13" customFormat="1" ht="15" x14ac:dyDescent="0.25">
      <c r="A270" s="340" t="s">
        <v>609</v>
      </c>
      <c r="B270" s="341" t="s">
        <v>9</v>
      </c>
      <c r="C270" s="341">
        <v>82004</v>
      </c>
      <c r="D270" s="342" t="str">
        <f>'MEMÓRIA DE CÁLCULO'!B456</f>
        <v>LUVA SIMPLES DIAM. 100 MM</v>
      </c>
      <c r="E270" s="343">
        <f>'MEMÓRIA DE CÁLCULO'!D456</f>
        <v>6</v>
      </c>
      <c r="F270" s="341" t="s">
        <v>278</v>
      </c>
      <c r="G270" s="355"/>
      <c r="H270" s="348"/>
      <c r="I270" s="345">
        <f t="shared" si="54"/>
        <v>0</v>
      </c>
      <c r="J270" s="478">
        <f t="shared" si="37"/>
        <v>0</v>
      </c>
      <c r="K270" s="478">
        <f t="shared" si="38"/>
        <v>0</v>
      </c>
      <c r="L270" s="482">
        <f t="shared" si="36"/>
        <v>0</v>
      </c>
      <c r="M270" s="480"/>
    </row>
    <row r="271" spans="1:13" customFormat="1" ht="15" x14ac:dyDescent="0.25">
      <c r="A271" s="340" t="s">
        <v>1071</v>
      </c>
      <c r="B271" s="341" t="s">
        <v>9</v>
      </c>
      <c r="C271" s="341">
        <v>82100</v>
      </c>
      <c r="D271" s="342" t="str">
        <f>'MEMÓRIA DE CÁLCULO'!B457</f>
        <v>R E D U C O E S</v>
      </c>
      <c r="E271" s="343"/>
      <c r="F271" s="341"/>
      <c r="G271" s="355"/>
      <c r="H271" s="348"/>
      <c r="I271" s="345"/>
      <c r="J271" s="478">
        <f t="shared" si="37"/>
        <v>0</v>
      </c>
      <c r="K271" s="478">
        <f t="shared" si="38"/>
        <v>0</v>
      </c>
      <c r="L271" s="482"/>
      <c r="M271" s="480"/>
    </row>
    <row r="272" spans="1:13" customFormat="1" ht="15" x14ac:dyDescent="0.25">
      <c r="A272" s="340" t="s">
        <v>1072</v>
      </c>
      <c r="B272" s="341" t="s">
        <v>9</v>
      </c>
      <c r="C272" s="341">
        <v>82101</v>
      </c>
      <c r="D272" s="342" t="str">
        <f>'MEMÓRIA DE CÁLCULO'!B458</f>
        <v>REDUCAO EXCENTRICA 75 X 50 MM</v>
      </c>
      <c r="E272" s="343">
        <f>'MEMÓRIA DE CÁLCULO'!D458</f>
        <v>6</v>
      </c>
      <c r="F272" s="341" t="s">
        <v>278</v>
      </c>
      <c r="G272" s="355"/>
      <c r="H272" s="348"/>
      <c r="I272" s="345">
        <f t="shared" ref="I272" si="66">(G272+H272)*E272</f>
        <v>0</v>
      </c>
      <c r="J272" s="478">
        <f t="shared" ref="J272:J334" si="67">G272*E272</f>
        <v>0</v>
      </c>
      <c r="K272" s="478">
        <f t="shared" ref="K272:K334" si="68">H272*E272</f>
        <v>0</v>
      </c>
      <c r="L272" s="482">
        <f t="shared" ref="L272" si="69">K272+J272</f>
        <v>0</v>
      </c>
      <c r="M272" s="480"/>
    </row>
    <row r="273" spans="1:13" customFormat="1" ht="15" x14ac:dyDescent="0.25">
      <c r="A273" s="340" t="s">
        <v>1073</v>
      </c>
      <c r="B273" s="341" t="s">
        <v>9</v>
      </c>
      <c r="C273" s="346">
        <v>82200</v>
      </c>
      <c r="D273" s="342" t="str">
        <f>'MEMÓRIA DE CÁLCULO'!B459</f>
        <v>T E</v>
      </c>
      <c r="E273" s="343"/>
      <c r="F273" s="347"/>
      <c r="G273" s="348"/>
      <c r="H273" s="349"/>
      <c r="I273" s="345"/>
      <c r="J273" s="478">
        <f t="shared" si="67"/>
        <v>0</v>
      </c>
      <c r="K273" s="478">
        <f t="shared" si="68"/>
        <v>0</v>
      </c>
      <c r="L273" s="482"/>
      <c r="M273" s="480"/>
    </row>
    <row r="274" spans="1:13" customFormat="1" ht="15" x14ac:dyDescent="0.25">
      <c r="A274" s="340" t="s">
        <v>1074</v>
      </c>
      <c r="B274" s="341" t="s">
        <v>9</v>
      </c>
      <c r="C274" s="341">
        <v>82230</v>
      </c>
      <c r="D274" s="342" t="str">
        <f>'MEMÓRIA DE CÁLCULO'!B460</f>
        <v xml:space="preserve">TE SANITARIO DIAMETRO 50 X 50 MM </v>
      </c>
      <c r="E274" s="343">
        <f>'MEMÓRIA DE CÁLCULO'!D460</f>
        <v>14</v>
      </c>
      <c r="F274" s="341" t="s">
        <v>278</v>
      </c>
      <c r="G274" s="344"/>
      <c r="H274" s="344"/>
      <c r="I274" s="345">
        <f t="shared" si="54"/>
        <v>0</v>
      </c>
      <c r="J274" s="478">
        <f t="shared" si="67"/>
        <v>0</v>
      </c>
      <c r="K274" s="478">
        <f t="shared" si="68"/>
        <v>0</v>
      </c>
      <c r="L274" s="482">
        <f t="shared" si="36"/>
        <v>0</v>
      </c>
      <c r="M274" s="480"/>
    </row>
    <row r="275" spans="1:13" customFormat="1" ht="15" x14ac:dyDescent="0.25">
      <c r="A275" s="340" t="s">
        <v>1093</v>
      </c>
      <c r="B275" s="341" t="s">
        <v>9</v>
      </c>
      <c r="C275" s="341">
        <v>82231</v>
      </c>
      <c r="D275" s="342" t="str">
        <f>'MEMÓRIA DE CÁLCULO'!B461</f>
        <v>TE SANITARIO DIAMETRO 75 X 50 MM</v>
      </c>
      <c r="E275" s="343">
        <f>'MEMÓRIA DE CÁLCULO'!D461</f>
        <v>1</v>
      </c>
      <c r="F275" s="341" t="s">
        <v>278</v>
      </c>
      <c r="G275" s="344"/>
      <c r="H275" s="344"/>
      <c r="I275" s="345">
        <f t="shared" ref="I275" si="70">(G275+H275)*E275</f>
        <v>0</v>
      </c>
      <c r="J275" s="478">
        <f t="shared" si="67"/>
        <v>0</v>
      </c>
      <c r="K275" s="478">
        <f t="shared" si="68"/>
        <v>0</v>
      </c>
      <c r="L275" s="482">
        <f t="shared" ref="L275" si="71">K275+J275</f>
        <v>0</v>
      </c>
      <c r="M275" s="480"/>
    </row>
    <row r="276" spans="1:13" customFormat="1" ht="15" x14ac:dyDescent="0.25">
      <c r="A276" s="340" t="s">
        <v>1094</v>
      </c>
      <c r="B276" s="341" t="s">
        <v>9</v>
      </c>
      <c r="C276" s="346">
        <v>82300</v>
      </c>
      <c r="D276" s="342" t="str">
        <f>'MEMÓRIA DE CÁLCULO'!B462</f>
        <v>T U B O S</v>
      </c>
      <c r="E276" s="343"/>
      <c r="F276" s="350"/>
      <c r="G276" s="348"/>
      <c r="H276" s="348"/>
      <c r="I276" s="345"/>
      <c r="J276" s="478">
        <f t="shared" si="67"/>
        <v>0</v>
      </c>
      <c r="K276" s="478">
        <f t="shared" si="68"/>
        <v>0</v>
      </c>
      <c r="L276" s="482"/>
      <c r="M276" s="480"/>
    </row>
    <row r="277" spans="1:13" customFormat="1" ht="15" x14ac:dyDescent="0.25">
      <c r="A277" s="340" t="s">
        <v>1095</v>
      </c>
      <c r="B277" s="341" t="s">
        <v>9</v>
      </c>
      <c r="C277" s="341">
        <v>82301</v>
      </c>
      <c r="D277" s="342" t="str">
        <f>'MEMÓRIA DE CÁLCULO'!B463</f>
        <v xml:space="preserve">TUBO SOLD.P/ESGOTO DIAM. 40 MM </v>
      </c>
      <c r="E277" s="343">
        <f>'MEMÓRIA DE CÁLCULO'!D463</f>
        <v>148.99</v>
      </c>
      <c r="F277" s="341" t="s">
        <v>25</v>
      </c>
      <c r="G277" s="344"/>
      <c r="H277" s="344"/>
      <c r="I277" s="345">
        <f t="shared" si="54"/>
        <v>0</v>
      </c>
      <c r="J277" s="478">
        <f t="shared" si="67"/>
        <v>0</v>
      </c>
      <c r="K277" s="478">
        <f t="shared" si="68"/>
        <v>0</v>
      </c>
      <c r="L277" s="482">
        <f t="shared" si="36"/>
        <v>0</v>
      </c>
      <c r="M277" s="480"/>
    </row>
    <row r="278" spans="1:13" customFormat="1" ht="15" x14ac:dyDescent="0.25">
      <c r="A278" s="340" t="s">
        <v>1096</v>
      </c>
      <c r="B278" s="341" t="s">
        <v>9</v>
      </c>
      <c r="C278" s="346">
        <v>82302</v>
      </c>
      <c r="D278" s="342" t="str">
        <f>'MEMÓRIA DE CÁLCULO'!B464</f>
        <v xml:space="preserve">TUBO SOLD. P/ESGOTO DIAM. 50 MM </v>
      </c>
      <c r="E278" s="343">
        <f>'MEMÓRIA DE CÁLCULO'!D464</f>
        <v>243.39999999999998</v>
      </c>
      <c r="F278" s="350" t="s">
        <v>108</v>
      </c>
      <c r="G278" s="348"/>
      <c r="H278" s="349"/>
      <c r="I278" s="345">
        <f t="shared" si="54"/>
        <v>0</v>
      </c>
      <c r="J278" s="478">
        <f t="shared" si="67"/>
        <v>0</v>
      </c>
      <c r="K278" s="478">
        <f t="shared" si="68"/>
        <v>0</v>
      </c>
      <c r="L278" s="482">
        <f t="shared" si="36"/>
        <v>0</v>
      </c>
      <c r="M278" s="480"/>
    </row>
    <row r="279" spans="1:13" customFormat="1" ht="15" x14ac:dyDescent="0.25">
      <c r="A279" s="340" t="s">
        <v>1097</v>
      </c>
      <c r="B279" s="341" t="s">
        <v>9</v>
      </c>
      <c r="C279" s="346">
        <v>82304</v>
      </c>
      <c r="D279" s="342" t="str">
        <f>'MEMÓRIA DE CÁLCULO'!B465</f>
        <v xml:space="preserve">TUBO SOLDAVEL P/ESGOTO DIAM. 100 MM </v>
      </c>
      <c r="E279" s="343">
        <f>'MEMÓRIA DE CÁLCULO'!D465</f>
        <v>455.04</v>
      </c>
      <c r="F279" s="350" t="s">
        <v>108</v>
      </c>
      <c r="G279" s="348"/>
      <c r="H279" s="348"/>
      <c r="I279" s="345">
        <f t="shared" si="54"/>
        <v>0</v>
      </c>
      <c r="J279" s="478">
        <f t="shared" si="67"/>
        <v>0</v>
      </c>
      <c r="K279" s="478">
        <f t="shared" si="68"/>
        <v>0</v>
      </c>
      <c r="L279" s="482">
        <f t="shared" ref="L279:L283" si="72">K279+J279</f>
        <v>0</v>
      </c>
      <c r="M279" s="480"/>
    </row>
    <row r="280" spans="1:13" customFormat="1" ht="15" x14ac:dyDescent="0.25">
      <c r="A280" s="340" t="s">
        <v>1098</v>
      </c>
      <c r="B280" s="341" t="s">
        <v>9</v>
      </c>
      <c r="C280" s="346">
        <v>82305</v>
      </c>
      <c r="D280" s="342" t="str">
        <f>'MEMÓRIA DE CÁLCULO'!B466</f>
        <v>TUBO LEVE PVC RIGIDO DIAMETRO 150 MM</v>
      </c>
      <c r="E280" s="343">
        <f>'MEMÓRIA DE CÁLCULO'!D466</f>
        <v>283.49</v>
      </c>
      <c r="F280" s="350" t="s">
        <v>108</v>
      </c>
      <c r="G280" s="348"/>
      <c r="H280" s="348"/>
      <c r="I280" s="345">
        <f t="shared" ref="I280" si="73">(G280+H280)*E280</f>
        <v>0</v>
      </c>
      <c r="J280" s="478">
        <f t="shared" si="67"/>
        <v>0</v>
      </c>
      <c r="K280" s="478">
        <f t="shared" si="68"/>
        <v>0</v>
      </c>
      <c r="L280" s="482"/>
      <c r="M280" s="480"/>
    </row>
    <row r="281" spans="1:13" customFormat="1" ht="15" x14ac:dyDescent="0.25">
      <c r="A281" s="340" t="s">
        <v>1099</v>
      </c>
      <c r="B281" s="341" t="s">
        <v>9</v>
      </c>
      <c r="C281" s="346">
        <v>85000</v>
      </c>
      <c r="D281" s="342" t="str">
        <f>'MEMÓRIA DE CÁLCULO'!B467</f>
        <v>INCENDIOS</v>
      </c>
      <c r="E281" s="343"/>
      <c r="F281" s="350"/>
      <c r="G281" s="348"/>
      <c r="H281" s="349"/>
      <c r="I281" s="345"/>
      <c r="J281" s="478">
        <f t="shared" si="67"/>
        <v>0</v>
      </c>
      <c r="K281" s="478">
        <f t="shared" si="68"/>
        <v>0</v>
      </c>
      <c r="L281" s="482"/>
      <c r="M281" s="480"/>
    </row>
    <row r="282" spans="1:13" customFormat="1" ht="16.5" customHeight="1" x14ac:dyDescent="0.25">
      <c r="A282" s="340" t="s">
        <v>1100</v>
      </c>
      <c r="B282" s="341" t="s">
        <v>9</v>
      </c>
      <c r="C282" s="346">
        <v>85006</v>
      </c>
      <c r="D282" s="342" t="str">
        <f>'MEMÓRIA DE CÁLCULO'!B468</f>
        <v>EXTINTOR MULTI USO EM PO A B C (6 KG) - CAPACIDADE EXTINTORA 3A 20BC</v>
      </c>
      <c r="E282" s="343">
        <f>'MEMÓRIA DE CÁLCULO'!D468</f>
        <v>12</v>
      </c>
      <c r="F282" s="350" t="s">
        <v>278</v>
      </c>
      <c r="G282" s="348"/>
      <c r="H282" s="349"/>
      <c r="I282" s="345">
        <f t="shared" si="54"/>
        <v>0</v>
      </c>
      <c r="J282" s="478">
        <f t="shared" si="67"/>
        <v>0</v>
      </c>
      <c r="K282" s="478">
        <f t="shared" si="68"/>
        <v>0</v>
      </c>
      <c r="L282" s="482">
        <f t="shared" si="72"/>
        <v>0</v>
      </c>
      <c r="M282" s="480"/>
    </row>
    <row r="283" spans="1:13" customFormat="1" ht="25.5" x14ac:dyDescent="0.25">
      <c r="A283" s="340" t="s">
        <v>1101</v>
      </c>
      <c r="B283" s="341" t="s">
        <v>9</v>
      </c>
      <c r="C283" s="346">
        <v>85007</v>
      </c>
      <c r="D283" s="342" t="str">
        <f>'MEMÓRIA DE CÁLCULO'!B469</f>
        <v>CAIXA DE INCÊNDIO METÁLICA COM SUPORTE PARA MANGUEIRA, TAMPA E MURETA
17X60X90 CM C/PINTURA</v>
      </c>
      <c r="E283" s="343">
        <f>'MEMÓRIA DE CÁLCULO'!D469</f>
        <v>3</v>
      </c>
      <c r="F283" s="350" t="s">
        <v>278</v>
      </c>
      <c r="G283" s="348"/>
      <c r="H283" s="349"/>
      <c r="I283" s="345">
        <f t="shared" ref="I283:I290" si="74">(G283+H283)*E283</f>
        <v>0</v>
      </c>
      <c r="J283" s="478">
        <f t="shared" si="67"/>
        <v>0</v>
      </c>
      <c r="K283" s="478">
        <f t="shared" si="68"/>
        <v>0</v>
      </c>
      <c r="L283" s="482">
        <f t="shared" si="72"/>
        <v>0</v>
      </c>
      <c r="M283" s="480"/>
    </row>
    <row r="284" spans="1:13" customFormat="1" ht="16.5" customHeight="1" x14ac:dyDescent="0.25">
      <c r="A284" s="340" t="s">
        <v>1102</v>
      </c>
      <c r="B284" s="341" t="s">
        <v>9</v>
      </c>
      <c r="C284" s="346">
        <v>85008</v>
      </c>
      <c r="D284" s="342" t="str">
        <f>'MEMÓRIA DE CÁLCULO'!B470</f>
        <v>CAIXA DE PASSEIO C/TAMPA DE FERRO FUNDIDO 40X60 CM P/INCÊNDIO</v>
      </c>
      <c r="E284" s="343">
        <f>'MEMÓRIA DE CÁLCULO'!D470</f>
        <v>1</v>
      </c>
      <c r="F284" s="350" t="s">
        <v>278</v>
      </c>
      <c r="G284" s="348"/>
      <c r="H284" s="349"/>
      <c r="I284" s="345">
        <f t="shared" si="74"/>
        <v>0</v>
      </c>
      <c r="J284" s="478">
        <f t="shared" si="67"/>
        <v>0</v>
      </c>
      <c r="K284" s="478">
        <f t="shared" si="68"/>
        <v>0</v>
      </c>
      <c r="L284" s="482"/>
      <c r="M284" s="480"/>
    </row>
    <row r="285" spans="1:13" customFormat="1" ht="16.5" customHeight="1" x14ac:dyDescent="0.25">
      <c r="A285" s="340" t="s">
        <v>1103</v>
      </c>
      <c r="B285" s="341" t="s">
        <v>9</v>
      </c>
      <c r="C285" s="346">
        <v>85009</v>
      </c>
      <c r="D285" s="342" t="str">
        <f>'MEMÓRIA DE CÁLCULO'!B471</f>
        <v>MANGUEIRA DE INCÊNDIO D.I. = 38 MM TIPO 2 COMP. = 15 M</v>
      </c>
      <c r="E285" s="343">
        <v>4</v>
      </c>
      <c r="F285" s="350" t="s">
        <v>1456</v>
      </c>
      <c r="G285" s="348"/>
      <c r="H285" s="349"/>
      <c r="I285" s="345">
        <f t="shared" ref="I285:I289" si="75">(G285+H285)*E285</f>
        <v>0</v>
      </c>
      <c r="J285" s="478">
        <f t="shared" si="67"/>
        <v>0</v>
      </c>
      <c r="K285" s="478">
        <f t="shared" si="68"/>
        <v>0</v>
      </c>
      <c r="L285" s="482">
        <f t="shared" ref="L285" si="76">K285+J285</f>
        <v>0</v>
      </c>
      <c r="M285" s="480"/>
    </row>
    <row r="286" spans="1:13" customFormat="1" ht="16.5" customHeight="1" x14ac:dyDescent="0.25">
      <c r="A286" s="340" t="s">
        <v>1104</v>
      </c>
      <c r="B286" s="341" t="s">
        <v>9</v>
      </c>
      <c r="C286" s="346">
        <v>85010</v>
      </c>
      <c r="D286" s="342" t="str">
        <f>'MEMÓRIA DE CÁLCULO'!B472</f>
        <v>ESGUICHO REGULÁVEL 1.1/2"</v>
      </c>
      <c r="E286" s="343">
        <f>'MEMÓRIA DE CÁLCULO'!D472</f>
        <v>6</v>
      </c>
      <c r="F286" s="350" t="s">
        <v>278</v>
      </c>
      <c r="G286" s="348"/>
      <c r="H286" s="349"/>
      <c r="I286" s="345">
        <f t="shared" si="75"/>
        <v>0</v>
      </c>
      <c r="J286" s="478">
        <f t="shared" si="67"/>
        <v>0</v>
      </c>
      <c r="K286" s="478">
        <f t="shared" si="68"/>
        <v>0</v>
      </c>
      <c r="L286" s="482"/>
      <c r="M286" s="480"/>
    </row>
    <row r="287" spans="1:13" customFormat="1" ht="16.5" customHeight="1" x14ac:dyDescent="0.25">
      <c r="A287" s="340" t="s">
        <v>1105</v>
      </c>
      <c r="B287" s="341" t="s">
        <v>9</v>
      </c>
      <c r="C287" s="346">
        <v>85011</v>
      </c>
      <c r="D287" s="342" t="str">
        <f>'MEMÓRIA DE CÁLCULO'!B473</f>
        <v>ADAPTADOR P/ENGATE STORZ 2.1/2" X 1.1/2"</v>
      </c>
      <c r="E287" s="343">
        <f>'MEMÓRIA DE CÁLCULO'!D473</f>
        <v>6</v>
      </c>
      <c r="F287" s="350" t="s">
        <v>278</v>
      </c>
      <c r="G287" s="348"/>
      <c r="H287" s="349"/>
      <c r="I287" s="345">
        <f t="shared" si="75"/>
        <v>0</v>
      </c>
      <c r="J287" s="478">
        <f t="shared" si="67"/>
        <v>0</v>
      </c>
      <c r="K287" s="478">
        <f t="shared" si="68"/>
        <v>0</v>
      </c>
      <c r="L287" s="482">
        <f t="shared" ref="L287:L288" si="77">K287+J287</f>
        <v>0</v>
      </c>
      <c r="M287" s="480"/>
    </row>
    <row r="288" spans="1:13" customFormat="1" ht="16.5" customHeight="1" x14ac:dyDescent="0.25">
      <c r="A288" s="340" t="s">
        <v>1107</v>
      </c>
      <c r="B288" s="341" t="s">
        <v>9</v>
      </c>
      <c r="C288" s="346">
        <v>85013</v>
      </c>
      <c r="D288" s="342" t="str">
        <f>'MEMÓRIA DE CÁLCULO'!B474</f>
        <v>REGISTRO GLOBO ANGULAR 2.1/2"</v>
      </c>
      <c r="E288" s="343">
        <f>'MEMÓRIA DE CÁLCULO'!D474</f>
        <v>2</v>
      </c>
      <c r="F288" s="350" t="s">
        <v>278</v>
      </c>
      <c r="G288" s="348"/>
      <c r="H288" s="349"/>
      <c r="I288" s="345">
        <f t="shared" si="75"/>
        <v>0</v>
      </c>
      <c r="J288" s="478">
        <f t="shared" si="67"/>
        <v>0</v>
      </c>
      <c r="K288" s="478">
        <f t="shared" si="68"/>
        <v>0</v>
      </c>
      <c r="L288" s="482">
        <f t="shared" si="77"/>
        <v>0</v>
      </c>
      <c r="M288" s="480"/>
    </row>
    <row r="289" spans="1:13" customFormat="1" ht="16.5" customHeight="1" x14ac:dyDescent="0.25">
      <c r="A289" s="340" t="s">
        <v>1108</v>
      </c>
      <c r="B289" s="341" t="s">
        <v>9</v>
      </c>
      <c r="C289" s="346">
        <v>85014</v>
      </c>
      <c r="D289" s="342" t="str">
        <f>'MEMÓRIA DE CÁLCULO'!B475</f>
        <v>AVISADOR SONORO E VISUAL</v>
      </c>
      <c r="E289" s="343">
        <f>'MEMÓRIA DE CÁLCULO'!D475</f>
        <v>5</v>
      </c>
      <c r="F289" s="350" t="s">
        <v>278</v>
      </c>
      <c r="G289" s="348"/>
      <c r="H289" s="349"/>
      <c r="I289" s="345">
        <f t="shared" si="75"/>
        <v>0</v>
      </c>
      <c r="J289" s="478">
        <f t="shared" si="67"/>
        <v>0</v>
      </c>
      <c r="K289" s="478">
        <f t="shared" si="68"/>
        <v>0</v>
      </c>
      <c r="L289" s="482"/>
      <c r="M289" s="480"/>
    </row>
    <row r="290" spans="1:13" customFormat="1" ht="16.5" customHeight="1" x14ac:dyDescent="0.25">
      <c r="A290" s="340" t="s">
        <v>1103</v>
      </c>
      <c r="B290" s="341" t="s">
        <v>9</v>
      </c>
      <c r="C290" s="346">
        <v>85009</v>
      </c>
      <c r="D290" s="342" t="str">
        <f>'MEMÓRIA DE CÁLCULO'!B476</f>
        <v>MANOMETRO - 0 A 10 KG/CM2</v>
      </c>
      <c r="E290" s="343">
        <f>'MEMÓRIA DE CÁLCULO'!D476</f>
        <v>2</v>
      </c>
      <c r="F290" s="350" t="s">
        <v>278</v>
      </c>
      <c r="G290" s="348"/>
      <c r="H290" s="349"/>
      <c r="I290" s="345">
        <f t="shared" si="74"/>
        <v>0</v>
      </c>
      <c r="J290" s="478">
        <f t="shared" si="67"/>
        <v>0</v>
      </c>
      <c r="K290" s="478">
        <f t="shared" si="68"/>
        <v>0</v>
      </c>
      <c r="L290" s="482">
        <f t="shared" ref="L290:L292" si="78">K290+J290</f>
        <v>0</v>
      </c>
      <c r="M290" s="480"/>
    </row>
    <row r="291" spans="1:13" customFormat="1" ht="16.5" customHeight="1" x14ac:dyDescent="0.25">
      <c r="A291" s="340" t="s">
        <v>1104</v>
      </c>
      <c r="B291" s="341" t="s">
        <v>9</v>
      </c>
      <c r="C291" s="346">
        <v>85010</v>
      </c>
      <c r="D291" s="342" t="str">
        <f>'MEMÓRIA DE CÁLCULO'!B477</f>
        <v>NIPLE DUPLO FERRO GALVANIZADO 2.1/2"</v>
      </c>
      <c r="E291" s="343">
        <f>'MEMÓRIA DE CÁLCULO'!D477</f>
        <v>8</v>
      </c>
      <c r="F291" s="350" t="s">
        <v>278</v>
      </c>
      <c r="G291" s="348"/>
      <c r="H291" s="349"/>
      <c r="I291" s="345">
        <f t="shared" ref="I291:I295" si="79">(G291+H291)*E291</f>
        <v>0</v>
      </c>
      <c r="J291" s="478">
        <f t="shared" si="67"/>
        <v>0</v>
      </c>
      <c r="K291" s="478">
        <f t="shared" si="68"/>
        <v>0</v>
      </c>
      <c r="L291" s="482">
        <f t="shared" si="78"/>
        <v>0</v>
      </c>
      <c r="M291" s="480"/>
    </row>
    <row r="292" spans="1:13" customFormat="1" ht="16.5" customHeight="1" x14ac:dyDescent="0.25">
      <c r="A292" s="340" t="s">
        <v>1105</v>
      </c>
      <c r="B292" s="341" t="s">
        <v>9</v>
      </c>
      <c r="C292" s="346">
        <v>85011</v>
      </c>
      <c r="D292" s="342" t="str">
        <f>'MEMÓRIA DE CÁLCULO'!B478</f>
        <v>TÊ DE FERRO GALVANIZADO 90º X 2 1/2"</v>
      </c>
      <c r="E292" s="343">
        <f>'MEMÓRIA DE CÁLCULO'!D478</f>
        <v>8</v>
      </c>
      <c r="F292" s="350" t="s">
        <v>278</v>
      </c>
      <c r="G292" s="348"/>
      <c r="H292" s="349"/>
      <c r="I292" s="345">
        <f t="shared" si="79"/>
        <v>0</v>
      </c>
      <c r="J292" s="478">
        <f t="shared" si="67"/>
        <v>0</v>
      </c>
      <c r="K292" s="478">
        <f t="shared" si="68"/>
        <v>0</v>
      </c>
      <c r="L292" s="482">
        <f t="shared" si="78"/>
        <v>0</v>
      </c>
      <c r="M292" s="480"/>
    </row>
    <row r="293" spans="1:13" customFormat="1" ht="16.5" customHeight="1" x14ac:dyDescent="0.25">
      <c r="A293" s="340" t="s">
        <v>1106</v>
      </c>
      <c r="B293" s="341" t="s">
        <v>9</v>
      </c>
      <c r="C293" s="346">
        <v>85012</v>
      </c>
      <c r="D293" s="342" t="str">
        <f>'MEMÓRIA DE CÁLCULO'!B479</f>
        <v>COTOVELO DE FERRO GALVANIZADO 90º X 2 1/2"</v>
      </c>
      <c r="E293" s="343">
        <f>'MEMÓRIA DE CÁLCULO'!D479</f>
        <v>17</v>
      </c>
      <c r="F293" s="350" t="s">
        <v>278</v>
      </c>
      <c r="G293" s="348"/>
      <c r="H293" s="349"/>
      <c r="I293" s="345">
        <f t="shared" si="79"/>
        <v>0</v>
      </c>
      <c r="J293" s="478">
        <f t="shared" si="67"/>
        <v>0</v>
      </c>
      <c r="K293" s="478">
        <f t="shared" si="68"/>
        <v>0</v>
      </c>
      <c r="L293" s="482"/>
      <c r="M293" s="480"/>
    </row>
    <row r="294" spans="1:13" customFormat="1" ht="16.5" customHeight="1" x14ac:dyDescent="0.25">
      <c r="A294" s="340" t="s">
        <v>1107</v>
      </c>
      <c r="B294" s="341" t="s">
        <v>9</v>
      </c>
      <c r="C294" s="346">
        <v>85013</v>
      </c>
      <c r="D294" s="342" t="str">
        <f>'MEMÓRIA DE CÁLCULO'!B480</f>
        <v>VÁLVULA DE RETENÇÃO VERTICAL 2.1/2"</v>
      </c>
      <c r="E294" s="343">
        <f>'MEMÓRIA DE CÁLCULO'!D480</f>
        <v>2</v>
      </c>
      <c r="F294" s="350" t="s">
        <v>278</v>
      </c>
      <c r="G294" s="348"/>
      <c r="H294" s="349"/>
      <c r="I294" s="345">
        <f t="shared" si="79"/>
        <v>0</v>
      </c>
      <c r="J294" s="478">
        <f t="shared" si="67"/>
        <v>0</v>
      </c>
      <c r="K294" s="478">
        <f t="shared" si="68"/>
        <v>0</v>
      </c>
      <c r="L294" s="482"/>
      <c r="M294" s="480"/>
    </row>
    <row r="295" spans="1:13" customFormat="1" ht="16.5" customHeight="1" x14ac:dyDescent="0.25">
      <c r="A295" s="340" t="s">
        <v>1108</v>
      </c>
      <c r="B295" s="341" t="s">
        <v>44</v>
      </c>
      <c r="C295" s="346">
        <v>83645</v>
      </c>
      <c r="D295" s="342" t="str">
        <f>'MEMÓRIA DE CÁLCULO'!B481</f>
        <v>BOMBA RECALQUE D'AGUA TRIFASICA 3,0 HP</v>
      </c>
      <c r="E295" s="343">
        <f>'MEMÓRIA DE CÁLCULO'!D481</f>
        <v>2</v>
      </c>
      <c r="F295" s="350" t="s">
        <v>278</v>
      </c>
      <c r="G295" s="356"/>
      <c r="H295" s="357"/>
      <c r="I295" s="345">
        <f t="shared" si="79"/>
        <v>0</v>
      </c>
      <c r="J295" s="478">
        <f t="shared" si="67"/>
        <v>0</v>
      </c>
      <c r="K295" s="478">
        <f t="shared" si="68"/>
        <v>0</v>
      </c>
      <c r="L295" s="482">
        <f t="shared" ref="L295:L296" si="80">K295+J295</f>
        <v>0</v>
      </c>
      <c r="M295" s="480"/>
    </row>
    <row r="296" spans="1:13" customFormat="1" ht="26.25" thickBot="1" x14ac:dyDescent="0.3">
      <c r="A296" s="340" t="s">
        <v>1109</v>
      </c>
      <c r="B296" s="341" t="s">
        <v>44</v>
      </c>
      <c r="C296" s="346">
        <v>92336</v>
      </c>
      <c r="D296" s="342" t="str">
        <f>'MEMÓRIA DE CÁLCULO'!B482</f>
        <v>TUBO DE AÇO GALVANIZADO COM COSTURA, CLASSE MÉDIA, CONEXÃO RANHURADA,DN 65 (2 1/2"), INSTALADO EM PRUMADAS - FORNECIMENTO E INSTALAÇÃO. AF 10/2020</v>
      </c>
      <c r="E296" s="343">
        <f>'MEMÓRIA DE CÁLCULO'!D482</f>
        <v>120</v>
      </c>
      <c r="F296" s="350" t="s">
        <v>108</v>
      </c>
      <c r="G296" s="356"/>
      <c r="H296" s="357"/>
      <c r="I296" s="345">
        <f t="shared" ref="I296" si="81">(G296+H296)*E296</f>
        <v>0</v>
      </c>
      <c r="J296" s="478">
        <f t="shared" si="67"/>
        <v>0</v>
      </c>
      <c r="K296" s="478">
        <f>J296/2</f>
        <v>0</v>
      </c>
      <c r="L296" s="482">
        <f t="shared" si="80"/>
        <v>0</v>
      </c>
      <c r="M296" s="480"/>
    </row>
    <row r="297" spans="1:13" thickBot="1" x14ac:dyDescent="0.3">
      <c r="A297" s="492" t="s">
        <v>310</v>
      </c>
      <c r="B297" s="493"/>
      <c r="C297" s="493"/>
      <c r="D297" s="493"/>
      <c r="E297" s="493"/>
      <c r="F297" s="493"/>
      <c r="G297" s="493"/>
      <c r="H297" s="493"/>
      <c r="I297" s="315">
        <f>ROUND(SUM(I142:I296),2)</f>
        <v>0</v>
      </c>
      <c r="J297" s="478">
        <f t="shared" si="67"/>
        <v>0</v>
      </c>
      <c r="K297" s="478">
        <f t="shared" si="68"/>
        <v>0</v>
      </c>
      <c r="L297" s="478">
        <f t="shared" ref="L297:L329" si="82">K297+J297</f>
        <v>0</v>
      </c>
    </row>
    <row r="298" spans="1:13" thickBot="1" x14ac:dyDescent="0.3">
      <c r="A298" s="290" t="s">
        <v>2</v>
      </c>
      <c r="B298" s="290" t="s">
        <v>301</v>
      </c>
      <c r="C298" s="290" t="s">
        <v>302</v>
      </c>
      <c r="D298" s="316" t="s">
        <v>3</v>
      </c>
      <c r="E298" s="290" t="s">
        <v>4</v>
      </c>
      <c r="F298" s="290" t="s">
        <v>5</v>
      </c>
      <c r="G298" s="290" t="s">
        <v>6</v>
      </c>
      <c r="H298" s="290" t="s">
        <v>7</v>
      </c>
      <c r="I298" s="314" t="s">
        <v>8</v>
      </c>
      <c r="L298" s="478"/>
    </row>
    <row r="299" spans="1:13" ht="15" x14ac:dyDescent="0.25">
      <c r="A299" s="296">
        <v>8</v>
      </c>
      <c r="B299" s="297" t="s">
        <v>9</v>
      </c>
      <c r="C299" s="297">
        <v>90000</v>
      </c>
      <c r="D299" s="488" t="s">
        <v>184</v>
      </c>
      <c r="E299" s="488"/>
      <c r="F299" s="488"/>
      <c r="G299" s="488"/>
      <c r="H299" s="488"/>
      <c r="I299" s="489"/>
      <c r="J299" s="478">
        <f t="shared" si="67"/>
        <v>0</v>
      </c>
      <c r="K299" s="478">
        <f t="shared" si="68"/>
        <v>0</v>
      </c>
      <c r="L299" s="478">
        <f t="shared" si="82"/>
        <v>0</v>
      </c>
    </row>
    <row r="300" spans="1:13" s="6" customFormat="1" ht="32.25" customHeight="1" x14ac:dyDescent="0.25">
      <c r="A300" s="320" t="s">
        <v>185</v>
      </c>
      <c r="B300" s="305" t="s">
        <v>44</v>
      </c>
      <c r="C300" s="305">
        <v>92311</v>
      </c>
      <c r="D300" s="306" t="s">
        <v>1314</v>
      </c>
      <c r="E300" s="329">
        <v>44</v>
      </c>
      <c r="F300" s="350" t="s">
        <v>278</v>
      </c>
      <c r="G300" s="490"/>
      <c r="H300" s="491"/>
      <c r="I300" s="319">
        <f t="shared" ref="I300:I315" si="83">(H300+G300)*E300</f>
        <v>0</v>
      </c>
      <c r="J300" s="478">
        <f t="shared" si="67"/>
        <v>0</v>
      </c>
      <c r="K300" s="478">
        <f>J300/2</f>
        <v>0</v>
      </c>
      <c r="L300" s="478">
        <f t="shared" si="82"/>
        <v>0</v>
      </c>
      <c r="M300" s="485"/>
    </row>
    <row r="301" spans="1:13" s="6" customFormat="1" ht="25.5" x14ac:dyDescent="0.25">
      <c r="A301" s="320" t="s">
        <v>112</v>
      </c>
      <c r="B301" s="305" t="s">
        <v>44</v>
      </c>
      <c r="C301" s="305">
        <v>92287</v>
      </c>
      <c r="D301" s="306" t="s">
        <v>1315</v>
      </c>
      <c r="E301" s="329">
        <v>44</v>
      </c>
      <c r="F301" s="350" t="s">
        <v>278</v>
      </c>
      <c r="G301" s="490"/>
      <c r="H301" s="491"/>
      <c r="I301" s="319">
        <f t="shared" si="83"/>
        <v>0</v>
      </c>
      <c r="J301" s="478">
        <f t="shared" si="67"/>
        <v>0</v>
      </c>
      <c r="K301" s="478">
        <f t="shared" ref="K301:K315" si="84">J301/2</f>
        <v>0</v>
      </c>
      <c r="L301" s="478">
        <f t="shared" si="82"/>
        <v>0</v>
      </c>
      <c r="M301" s="485"/>
    </row>
    <row r="302" spans="1:13" s="6" customFormat="1" ht="25.5" x14ac:dyDescent="0.25">
      <c r="A302" s="320" t="s">
        <v>186</v>
      </c>
      <c r="B302" s="305" t="s">
        <v>44</v>
      </c>
      <c r="C302" s="305">
        <v>92314</v>
      </c>
      <c r="D302" s="306" t="s">
        <v>1316</v>
      </c>
      <c r="E302" s="329">
        <v>44</v>
      </c>
      <c r="F302" s="350" t="s">
        <v>278</v>
      </c>
      <c r="G302" s="490"/>
      <c r="H302" s="491"/>
      <c r="I302" s="319">
        <f t="shared" si="83"/>
        <v>0</v>
      </c>
      <c r="J302" s="478">
        <f t="shared" si="67"/>
        <v>0</v>
      </c>
      <c r="K302" s="478">
        <f t="shared" si="84"/>
        <v>0</v>
      </c>
      <c r="L302" s="478">
        <f t="shared" si="82"/>
        <v>0</v>
      </c>
      <c r="M302" s="485"/>
    </row>
    <row r="303" spans="1:13" s="6" customFormat="1" ht="25.5" x14ac:dyDescent="0.25">
      <c r="A303" s="320" t="s">
        <v>187</v>
      </c>
      <c r="B303" s="305" t="s">
        <v>44</v>
      </c>
      <c r="C303" s="305">
        <v>92315</v>
      </c>
      <c r="D303" s="306" t="s">
        <v>1317</v>
      </c>
      <c r="E303" s="329">
        <v>22</v>
      </c>
      <c r="F303" s="350" t="s">
        <v>278</v>
      </c>
      <c r="G303" s="490"/>
      <c r="H303" s="491"/>
      <c r="I303" s="319">
        <f t="shared" si="83"/>
        <v>0</v>
      </c>
      <c r="J303" s="478">
        <f t="shared" si="67"/>
        <v>0</v>
      </c>
      <c r="K303" s="478">
        <f t="shared" si="84"/>
        <v>0</v>
      </c>
      <c r="L303" s="478">
        <f t="shared" si="82"/>
        <v>0</v>
      </c>
      <c r="M303" s="485"/>
    </row>
    <row r="304" spans="1:13" s="6" customFormat="1" ht="25.5" x14ac:dyDescent="0.25">
      <c r="A304" s="320" t="s">
        <v>188</v>
      </c>
      <c r="B304" s="305" t="s">
        <v>44</v>
      </c>
      <c r="C304" s="305">
        <v>93051</v>
      </c>
      <c r="D304" s="306" t="s">
        <v>1328</v>
      </c>
      <c r="E304" s="329">
        <v>44</v>
      </c>
      <c r="F304" s="350" t="s">
        <v>278</v>
      </c>
      <c r="G304" s="490"/>
      <c r="H304" s="491"/>
      <c r="I304" s="319">
        <f t="shared" si="83"/>
        <v>0</v>
      </c>
      <c r="J304" s="478">
        <f t="shared" si="67"/>
        <v>0</v>
      </c>
      <c r="K304" s="478">
        <f t="shared" si="84"/>
        <v>0</v>
      </c>
      <c r="L304" s="478">
        <f t="shared" si="82"/>
        <v>0</v>
      </c>
      <c r="M304" s="485"/>
    </row>
    <row r="305" spans="1:13" s="6" customFormat="1" ht="25.5" x14ac:dyDescent="0.25">
      <c r="A305" s="320" t="s">
        <v>189</v>
      </c>
      <c r="B305" s="305" t="s">
        <v>44</v>
      </c>
      <c r="C305" s="305">
        <v>97341</v>
      </c>
      <c r="D305" s="306" t="s">
        <v>1329</v>
      </c>
      <c r="E305" s="329">
        <f>20.8+21.6+23.4</f>
        <v>65.800000000000011</v>
      </c>
      <c r="F305" s="305" t="s">
        <v>108</v>
      </c>
      <c r="G305" s="490"/>
      <c r="H305" s="491"/>
      <c r="I305" s="319">
        <f t="shared" si="83"/>
        <v>0</v>
      </c>
      <c r="J305" s="478">
        <f t="shared" si="67"/>
        <v>0</v>
      </c>
      <c r="K305" s="478">
        <f t="shared" si="84"/>
        <v>0</v>
      </c>
      <c r="L305" s="478">
        <f t="shared" ref="L305:L306" si="85">K305+J305</f>
        <v>0</v>
      </c>
      <c r="M305" s="485"/>
    </row>
    <row r="306" spans="1:13" s="6" customFormat="1" ht="25.5" x14ac:dyDescent="0.25">
      <c r="A306" s="320" t="s">
        <v>1318</v>
      </c>
      <c r="B306" s="305" t="s">
        <v>44</v>
      </c>
      <c r="C306" s="305">
        <v>97335</v>
      </c>
      <c r="D306" s="306" t="s">
        <v>1330</v>
      </c>
      <c r="E306" s="329">
        <f>94.89+102.75+69.93</f>
        <v>267.57</v>
      </c>
      <c r="F306" s="305" t="s">
        <v>108</v>
      </c>
      <c r="G306" s="490"/>
      <c r="H306" s="491"/>
      <c r="I306" s="319">
        <f t="shared" si="83"/>
        <v>0</v>
      </c>
      <c r="J306" s="478">
        <f t="shared" si="67"/>
        <v>0</v>
      </c>
      <c r="K306" s="478">
        <f t="shared" si="84"/>
        <v>0</v>
      </c>
      <c r="L306" s="478">
        <f t="shared" si="85"/>
        <v>0</v>
      </c>
      <c r="M306" s="485"/>
    </row>
    <row r="307" spans="1:13" s="6" customFormat="1" ht="15" x14ac:dyDescent="0.25">
      <c r="A307" s="320" t="s">
        <v>1319</v>
      </c>
      <c r="B307" s="305" t="s">
        <v>1340</v>
      </c>
      <c r="C307" s="305">
        <v>101</v>
      </c>
      <c r="D307" s="306" t="s">
        <v>1331</v>
      </c>
      <c r="E307" s="329">
        <v>19</v>
      </c>
      <c r="F307" s="305" t="s">
        <v>278</v>
      </c>
      <c r="G307" s="490"/>
      <c r="H307" s="491"/>
      <c r="I307" s="319">
        <f t="shared" si="83"/>
        <v>0</v>
      </c>
      <c r="J307" s="478">
        <f t="shared" si="67"/>
        <v>0</v>
      </c>
      <c r="K307" s="478">
        <f t="shared" si="84"/>
        <v>0</v>
      </c>
      <c r="L307" s="478">
        <f t="shared" ref="L307:L308" si="86">K307+J307</f>
        <v>0</v>
      </c>
      <c r="M307" s="485"/>
    </row>
    <row r="308" spans="1:13" s="6" customFormat="1" ht="15" x14ac:dyDescent="0.25">
      <c r="A308" s="320" t="s">
        <v>1320</v>
      </c>
      <c r="B308" s="305" t="s">
        <v>1340</v>
      </c>
      <c r="C308" s="305">
        <v>102</v>
      </c>
      <c r="D308" s="306" t="s">
        <v>1332</v>
      </c>
      <c r="E308" s="329">
        <v>12</v>
      </c>
      <c r="F308" s="305" t="s">
        <v>278</v>
      </c>
      <c r="G308" s="490"/>
      <c r="H308" s="491"/>
      <c r="I308" s="319">
        <f t="shared" si="83"/>
        <v>0</v>
      </c>
      <c r="J308" s="478">
        <f t="shared" si="67"/>
        <v>0</v>
      </c>
      <c r="K308" s="478">
        <f t="shared" si="84"/>
        <v>0</v>
      </c>
      <c r="L308" s="478">
        <f t="shared" si="86"/>
        <v>0</v>
      </c>
      <c r="M308" s="485"/>
    </row>
    <row r="309" spans="1:13" s="6" customFormat="1" ht="15" x14ac:dyDescent="0.25">
      <c r="A309" s="320" t="s">
        <v>1321</v>
      </c>
      <c r="B309" s="305" t="s">
        <v>1340</v>
      </c>
      <c r="C309" s="305">
        <v>103</v>
      </c>
      <c r="D309" s="306" t="s">
        <v>1333</v>
      </c>
      <c r="E309" s="329">
        <v>13</v>
      </c>
      <c r="F309" s="305" t="s">
        <v>278</v>
      </c>
      <c r="G309" s="490"/>
      <c r="H309" s="491"/>
      <c r="I309" s="319">
        <f t="shared" si="83"/>
        <v>0</v>
      </c>
      <c r="J309" s="478">
        <f t="shared" si="67"/>
        <v>0</v>
      </c>
      <c r="K309" s="478">
        <f t="shared" si="84"/>
        <v>0</v>
      </c>
      <c r="L309" s="478">
        <f t="shared" ref="L309:L310" si="87">K309+J309</f>
        <v>0</v>
      </c>
      <c r="M309" s="485"/>
    </row>
    <row r="310" spans="1:13" s="6" customFormat="1" ht="15" x14ac:dyDescent="0.25">
      <c r="A310" s="320" t="s">
        <v>1322</v>
      </c>
      <c r="B310" s="305" t="s">
        <v>1340</v>
      </c>
      <c r="C310" s="305">
        <v>104</v>
      </c>
      <c r="D310" s="306" t="s">
        <v>1334</v>
      </c>
      <c r="E310" s="329">
        <v>5</v>
      </c>
      <c r="F310" s="305" t="s">
        <v>278</v>
      </c>
      <c r="G310" s="490"/>
      <c r="H310" s="491"/>
      <c r="I310" s="319">
        <f t="shared" si="83"/>
        <v>0</v>
      </c>
      <c r="J310" s="478">
        <f t="shared" si="67"/>
        <v>0</v>
      </c>
      <c r="K310" s="478">
        <f t="shared" si="84"/>
        <v>0</v>
      </c>
      <c r="L310" s="478">
        <f t="shared" si="87"/>
        <v>0</v>
      </c>
      <c r="M310" s="485"/>
    </row>
    <row r="311" spans="1:13" s="6" customFormat="1" ht="15" x14ac:dyDescent="0.25">
      <c r="A311" s="320" t="s">
        <v>1323</v>
      </c>
      <c r="B311" s="305" t="s">
        <v>1340</v>
      </c>
      <c r="C311" s="305">
        <v>105</v>
      </c>
      <c r="D311" s="306" t="s">
        <v>1335</v>
      </c>
      <c r="E311" s="329">
        <v>1</v>
      </c>
      <c r="F311" s="305" t="s">
        <v>278</v>
      </c>
      <c r="G311" s="490"/>
      <c r="H311" s="491"/>
      <c r="I311" s="319">
        <f t="shared" si="83"/>
        <v>0</v>
      </c>
      <c r="J311" s="478">
        <f t="shared" si="67"/>
        <v>0</v>
      </c>
      <c r="K311" s="478">
        <f t="shared" si="84"/>
        <v>0</v>
      </c>
      <c r="L311" s="478">
        <f t="shared" ref="L311:L312" si="88">K311+J311</f>
        <v>0</v>
      </c>
      <c r="M311" s="485"/>
    </row>
    <row r="312" spans="1:13" s="6" customFormat="1" ht="15" x14ac:dyDescent="0.25">
      <c r="A312" s="320" t="s">
        <v>1324</v>
      </c>
      <c r="B312" s="305" t="s">
        <v>1340</v>
      </c>
      <c r="C312" s="305">
        <v>106</v>
      </c>
      <c r="D312" s="306" t="s">
        <v>1336</v>
      </c>
      <c r="E312" s="329">
        <v>2</v>
      </c>
      <c r="F312" s="305" t="s">
        <v>279</v>
      </c>
      <c r="G312" s="490"/>
      <c r="H312" s="491"/>
      <c r="I312" s="319">
        <f t="shared" si="83"/>
        <v>0</v>
      </c>
      <c r="J312" s="478">
        <f t="shared" si="67"/>
        <v>0</v>
      </c>
      <c r="K312" s="478">
        <f t="shared" si="84"/>
        <v>0</v>
      </c>
      <c r="L312" s="478">
        <f t="shared" si="88"/>
        <v>0</v>
      </c>
      <c r="M312" s="485"/>
    </row>
    <row r="313" spans="1:13" s="6" customFormat="1" ht="15" x14ac:dyDescent="0.25">
      <c r="A313" s="320" t="s">
        <v>1325</v>
      </c>
      <c r="B313" s="305" t="s">
        <v>1340</v>
      </c>
      <c r="C313" s="305">
        <v>107</v>
      </c>
      <c r="D313" s="306" t="s">
        <v>1337</v>
      </c>
      <c r="E313" s="329">
        <v>1</v>
      </c>
      <c r="F313" s="305" t="s">
        <v>279</v>
      </c>
      <c r="G313" s="490"/>
      <c r="H313" s="491"/>
      <c r="I313" s="319">
        <f t="shared" si="83"/>
        <v>0</v>
      </c>
      <c r="J313" s="478">
        <f t="shared" si="67"/>
        <v>0</v>
      </c>
      <c r="K313" s="478">
        <f t="shared" si="84"/>
        <v>0</v>
      </c>
      <c r="L313" s="478">
        <f t="shared" ref="L313:L314" si="89">K313+J313</f>
        <v>0</v>
      </c>
      <c r="M313" s="485"/>
    </row>
    <row r="314" spans="1:13" s="6" customFormat="1" ht="15" x14ac:dyDescent="0.25">
      <c r="A314" s="320" t="s">
        <v>1326</v>
      </c>
      <c r="B314" s="305" t="s">
        <v>1340</v>
      </c>
      <c r="C314" s="305">
        <v>108</v>
      </c>
      <c r="D314" s="306" t="s">
        <v>1338</v>
      </c>
      <c r="E314" s="329">
        <v>40</v>
      </c>
      <c r="F314" s="305" t="s">
        <v>278</v>
      </c>
      <c r="G314" s="490"/>
      <c r="H314" s="491"/>
      <c r="I314" s="319">
        <f t="shared" si="83"/>
        <v>0</v>
      </c>
      <c r="J314" s="478">
        <f t="shared" si="67"/>
        <v>0</v>
      </c>
      <c r="K314" s="478">
        <f t="shared" si="84"/>
        <v>0</v>
      </c>
      <c r="L314" s="478">
        <f t="shared" si="89"/>
        <v>0</v>
      </c>
      <c r="M314" s="485"/>
    </row>
    <row r="315" spans="1:13" s="6" customFormat="1" thickBot="1" x14ac:dyDescent="0.3">
      <c r="A315" s="320" t="s">
        <v>1327</v>
      </c>
      <c r="B315" s="305" t="s">
        <v>1340</v>
      </c>
      <c r="C315" s="305">
        <v>109</v>
      </c>
      <c r="D315" s="306" t="s">
        <v>1339</v>
      </c>
      <c r="E315" s="329">
        <v>3</v>
      </c>
      <c r="F315" s="305" t="s">
        <v>278</v>
      </c>
      <c r="G315" s="490"/>
      <c r="H315" s="491"/>
      <c r="I315" s="319">
        <f t="shared" si="83"/>
        <v>0</v>
      </c>
      <c r="J315" s="478">
        <f t="shared" si="67"/>
        <v>0</v>
      </c>
      <c r="K315" s="478">
        <f t="shared" si="84"/>
        <v>0</v>
      </c>
      <c r="L315" s="478">
        <f t="shared" ref="L315" si="90">K315+J315</f>
        <v>0</v>
      </c>
      <c r="M315" s="485"/>
    </row>
    <row r="316" spans="1:13" thickBot="1" x14ac:dyDescent="0.3">
      <c r="A316" s="492" t="s">
        <v>310</v>
      </c>
      <c r="B316" s="493"/>
      <c r="C316" s="493"/>
      <c r="D316" s="493"/>
      <c r="E316" s="493"/>
      <c r="F316" s="493"/>
      <c r="G316" s="493"/>
      <c r="H316" s="493"/>
      <c r="I316" s="315">
        <f>ROUND(SUM(I300:I315),2)</f>
        <v>0</v>
      </c>
      <c r="J316" s="478">
        <f t="shared" si="67"/>
        <v>0</v>
      </c>
      <c r="K316" s="478">
        <f t="shared" si="68"/>
        <v>0</v>
      </c>
      <c r="L316" s="478">
        <f t="shared" si="82"/>
        <v>0</v>
      </c>
    </row>
    <row r="317" spans="1:13" thickBot="1" x14ac:dyDescent="0.3">
      <c r="A317" s="290" t="s">
        <v>2</v>
      </c>
      <c r="B317" s="290" t="s">
        <v>301</v>
      </c>
      <c r="C317" s="290" t="s">
        <v>302</v>
      </c>
      <c r="D317" s="316" t="s">
        <v>3</v>
      </c>
      <c r="E317" s="290" t="s">
        <v>4</v>
      </c>
      <c r="F317" s="290" t="s">
        <v>5</v>
      </c>
      <c r="G317" s="290" t="s">
        <v>6</v>
      </c>
      <c r="H317" s="290" t="s">
        <v>7</v>
      </c>
      <c r="I317" s="314" t="s">
        <v>8</v>
      </c>
      <c r="L317" s="478"/>
    </row>
    <row r="318" spans="1:13" ht="15" x14ac:dyDescent="0.25">
      <c r="A318" s="296">
        <v>9</v>
      </c>
      <c r="B318" s="297" t="s">
        <v>9</v>
      </c>
      <c r="C318" s="297">
        <v>100000</v>
      </c>
      <c r="D318" s="488" t="s">
        <v>27</v>
      </c>
      <c r="E318" s="488"/>
      <c r="F318" s="488"/>
      <c r="G318" s="488"/>
      <c r="H318" s="488"/>
      <c r="I318" s="489"/>
      <c r="J318" s="478">
        <f t="shared" si="67"/>
        <v>0</v>
      </c>
      <c r="K318" s="478">
        <f t="shared" si="68"/>
        <v>0</v>
      </c>
      <c r="L318" s="478">
        <f t="shared" si="82"/>
        <v>0</v>
      </c>
    </row>
    <row r="319" spans="1:13" ht="25.5" x14ac:dyDescent="0.25">
      <c r="A319" s="320" t="s">
        <v>190</v>
      </c>
      <c r="B319" s="305" t="s">
        <v>9</v>
      </c>
      <c r="C319" s="305">
        <v>100160</v>
      </c>
      <c r="D319" s="306" t="str">
        <f>'MEMÓRIA DE CÁLCULO'!B503</f>
        <v>ALVENARIA DE TIJOLO FURADO 1/2 VEZ 14X29X9 - 6 FUROS - ARG. (1CALH:4ARML+100KG DE CI/M3)</v>
      </c>
      <c r="E319" s="301">
        <f>'MEMÓRIA DE CÁLCULO'!D512</f>
        <v>2505.1125000000002</v>
      </c>
      <c r="F319" s="305" t="s">
        <v>15</v>
      </c>
      <c r="G319" s="318"/>
      <c r="H319" s="318"/>
      <c r="I319" s="319">
        <f>(G319+H319)*E319</f>
        <v>0</v>
      </c>
      <c r="J319" s="478">
        <f t="shared" si="67"/>
        <v>0</v>
      </c>
      <c r="K319" s="478">
        <f t="shared" si="68"/>
        <v>0</v>
      </c>
      <c r="L319" s="478">
        <f t="shared" si="82"/>
        <v>0</v>
      </c>
    </row>
    <row r="320" spans="1:13" ht="15" x14ac:dyDescent="0.25">
      <c r="A320" s="320" t="s">
        <v>671</v>
      </c>
      <c r="B320" s="305" t="s">
        <v>9</v>
      </c>
      <c r="C320" s="305">
        <v>100320</v>
      </c>
      <c r="D320" s="306" t="str">
        <f>'MEMÓRIA DE CÁLCULO'!B513</f>
        <v>DIVISORIA DE GRANITO POLIDO</v>
      </c>
      <c r="E320" s="301">
        <f>'MEMÓRIA DE CÁLCULO'!D518</f>
        <v>50.79</v>
      </c>
      <c r="F320" s="305" t="s">
        <v>195</v>
      </c>
      <c r="G320" s="318"/>
      <c r="H320" s="318"/>
      <c r="I320" s="319">
        <f>(G320+H320)*E320</f>
        <v>0</v>
      </c>
      <c r="J320" s="478">
        <f t="shared" si="67"/>
        <v>0</v>
      </c>
      <c r="K320" s="478">
        <f t="shared" si="68"/>
        <v>0</v>
      </c>
      <c r="L320" s="478">
        <f t="shared" ref="L320" si="91">K320+J320</f>
        <v>0</v>
      </c>
    </row>
    <row r="321" spans="1:13" thickBot="1" x14ac:dyDescent="0.3">
      <c r="A321" s="320" t="s">
        <v>974</v>
      </c>
      <c r="B321" s="305" t="s">
        <v>9</v>
      </c>
      <c r="C321" s="305">
        <v>100501</v>
      </c>
      <c r="D321" s="306" t="s">
        <v>975</v>
      </c>
      <c r="E321" s="301">
        <f>'MEMÓRIA DE CÁLCULO'!D521</f>
        <v>43.199999999999996</v>
      </c>
      <c r="F321" s="305" t="s">
        <v>195</v>
      </c>
      <c r="G321" s="318"/>
      <c r="H321" s="318"/>
      <c r="I321" s="319">
        <f>(G321+H321)*E321</f>
        <v>0</v>
      </c>
      <c r="J321" s="478">
        <f t="shared" si="67"/>
        <v>0</v>
      </c>
      <c r="K321" s="478">
        <f t="shared" si="68"/>
        <v>0</v>
      </c>
      <c r="L321" s="478">
        <f t="shared" ref="L321" si="92">K321+J321</f>
        <v>0</v>
      </c>
    </row>
    <row r="322" spans="1:13" thickBot="1" x14ac:dyDescent="0.3">
      <c r="A322" s="492" t="s">
        <v>310</v>
      </c>
      <c r="B322" s="493"/>
      <c r="C322" s="493"/>
      <c r="D322" s="493"/>
      <c r="E322" s="493"/>
      <c r="F322" s="493"/>
      <c r="G322" s="493"/>
      <c r="H322" s="493"/>
      <c r="I322" s="315">
        <f>SUM(I319:I321)</f>
        <v>0</v>
      </c>
      <c r="J322" s="478">
        <f t="shared" si="67"/>
        <v>0</v>
      </c>
      <c r="K322" s="478">
        <f t="shared" si="68"/>
        <v>0</v>
      </c>
      <c r="L322" s="478">
        <f t="shared" si="82"/>
        <v>0</v>
      </c>
    </row>
    <row r="323" spans="1:13" thickBot="1" x14ac:dyDescent="0.3">
      <c r="A323" s="290" t="s">
        <v>2</v>
      </c>
      <c r="B323" s="290" t="s">
        <v>301</v>
      </c>
      <c r="C323" s="290" t="s">
        <v>302</v>
      </c>
      <c r="D323" s="316" t="s">
        <v>3</v>
      </c>
      <c r="E323" s="290" t="s">
        <v>4</v>
      </c>
      <c r="F323" s="290" t="s">
        <v>5</v>
      </c>
      <c r="G323" s="290" t="s">
        <v>6</v>
      </c>
      <c r="H323" s="290" t="s">
        <v>7</v>
      </c>
      <c r="I323" s="314" t="s">
        <v>8</v>
      </c>
      <c r="L323" s="478"/>
    </row>
    <row r="324" spans="1:13" ht="15" x14ac:dyDescent="0.25">
      <c r="A324" s="296">
        <v>10</v>
      </c>
      <c r="B324" s="297" t="s">
        <v>9</v>
      </c>
      <c r="C324" s="297">
        <v>120000</v>
      </c>
      <c r="D324" s="488" t="s">
        <v>28</v>
      </c>
      <c r="E324" s="488"/>
      <c r="F324" s="488"/>
      <c r="G324" s="488"/>
      <c r="H324" s="488"/>
      <c r="I324" s="489"/>
      <c r="J324" s="478">
        <f t="shared" si="67"/>
        <v>0</v>
      </c>
      <c r="K324" s="478">
        <f t="shared" si="68"/>
        <v>0</v>
      </c>
      <c r="L324" s="478">
        <f t="shared" si="82"/>
        <v>0</v>
      </c>
    </row>
    <row r="325" spans="1:13" ht="15" x14ac:dyDescent="0.25">
      <c r="A325" s="320" t="s">
        <v>211</v>
      </c>
      <c r="B325" s="305" t="s">
        <v>9</v>
      </c>
      <c r="C325" s="305">
        <v>120902</v>
      </c>
      <c r="D325" s="306" t="s">
        <v>209</v>
      </c>
      <c r="E325" s="301">
        <f>'MEMÓRIA DE CÁLCULO'!D528</f>
        <v>618.42539999999997</v>
      </c>
      <c r="F325" s="305" t="s">
        <v>15</v>
      </c>
      <c r="G325" s="318"/>
      <c r="H325" s="318"/>
      <c r="I325" s="319">
        <f t="shared" ref="I325:I326" si="93">(H325+G325)*E325</f>
        <v>0</v>
      </c>
      <c r="J325" s="478">
        <f t="shared" si="67"/>
        <v>0</v>
      </c>
      <c r="K325" s="478">
        <f t="shared" si="68"/>
        <v>0</v>
      </c>
      <c r="L325" s="478">
        <f t="shared" si="82"/>
        <v>0</v>
      </c>
    </row>
    <row r="326" spans="1:13" ht="15" x14ac:dyDescent="0.25">
      <c r="A326" s="320" t="s">
        <v>212</v>
      </c>
      <c r="B326" s="305" t="s">
        <v>9</v>
      </c>
      <c r="C326" s="305">
        <v>121001</v>
      </c>
      <c r="D326" s="306" t="s">
        <v>210</v>
      </c>
      <c r="E326" s="301">
        <f>'MEMÓRIA DE CÁLCULO'!D545</f>
        <v>81.669999999999987</v>
      </c>
      <c r="F326" s="305" t="s">
        <v>15</v>
      </c>
      <c r="G326" s="318"/>
      <c r="H326" s="318"/>
      <c r="I326" s="319">
        <f t="shared" si="93"/>
        <v>0</v>
      </c>
      <c r="J326" s="478">
        <f t="shared" si="67"/>
        <v>0</v>
      </c>
      <c r="K326" s="478">
        <f t="shared" si="68"/>
        <v>0</v>
      </c>
      <c r="L326" s="478">
        <f t="shared" si="82"/>
        <v>0</v>
      </c>
    </row>
    <row r="327" spans="1:13" thickBot="1" x14ac:dyDescent="0.3">
      <c r="A327" s="326" t="s">
        <v>213</v>
      </c>
      <c r="B327" s="327" t="s">
        <v>9</v>
      </c>
      <c r="C327" s="327">
        <v>120208</v>
      </c>
      <c r="D327" s="328" t="s">
        <v>1017</v>
      </c>
      <c r="E327" s="329">
        <f>'MEMÓRIA DE CÁLCULO'!D548</f>
        <v>34.76</v>
      </c>
      <c r="F327" s="327" t="s">
        <v>195</v>
      </c>
      <c r="G327" s="330"/>
      <c r="H327" s="330"/>
      <c r="I327" s="331">
        <f t="shared" ref="I327" si="94">(H327+G327)*E327</f>
        <v>0</v>
      </c>
      <c r="J327" s="478">
        <f t="shared" si="67"/>
        <v>0</v>
      </c>
      <c r="K327" s="478">
        <f t="shared" si="68"/>
        <v>0</v>
      </c>
      <c r="L327" s="478">
        <f t="shared" ref="L327" si="95">K327+J327</f>
        <v>0</v>
      </c>
    </row>
    <row r="328" spans="1:13" thickBot="1" x14ac:dyDescent="0.3">
      <c r="A328" s="492" t="s">
        <v>310</v>
      </c>
      <c r="B328" s="493"/>
      <c r="C328" s="493"/>
      <c r="D328" s="493"/>
      <c r="E328" s="493"/>
      <c r="F328" s="493"/>
      <c r="G328" s="493"/>
      <c r="H328" s="493"/>
      <c r="I328" s="315">
        <f>ROUND(SUM(I325:I327),2)</f>
        <v>0</v>
      </c>
      <c r="J328" s="478">
        <f t="shared" si="67"/>
        <v>0</v>
      </c>
      <c r="K328" s="478">
        <f t="shared" si="68"/>
        <v>0</v>
      </c>
      <c r="L328" s="478">
        <f t="shared" si="82"/>
        <v>0</v>
      </c>
    </row>
    <row r="329" spans="1:13" ht="16.5" customHeight="1" thickBot="1" x14ac:dyDescent="0.3">
      <c r="A329" s="358" t="s">
        <v>29</v>
      </c>
      <c r="B329" s="359"/>
      <c r="C329" s="359"/>
      <c r="D329" s="360"/>
      <c r="E329" s="359"/>
      <c r="F329" s="359"/>
      <c r="G329" s="360"/>
      <c r="H329" s="360"/>
      <c r="I329" s="361"/>
      <c r="J329" s="478">
        <f t="shared" si="67"/>
        <v>0</v>
      </c>
      <c r="K329" s="478">
        <f t="shared" si="68"/>
        <v>0</v>
      </c>
      <c r="L329" s="478">
        <f t="shared" si="82"/>
        <v>0</v>
      </c>
    </row>
    <row r="330" spans="1:13" ht="16.5" customHeight="1" x14ac:dyDescent="0.25">
      <c r="A330" s="362">
        <v>11</v>
      </c>
      <c r="B330" s="363" t="s">
        <v>9</v>
      </c>
      <c r="C330" s="363">
        <v>140000</v>
      </c>
      <c r="D330" s="364" t="s">
        <v>30</v>
      </c>
      <c r="E330" s="365"/>
      <c r="F330" s="365"/>
      <c r="G330" s="366"/>
      <c r="H330" s="366"/>
      <c r="I330" s="367"/>
      <c r="J330" s="478">
        <f t="shared" si="67"/>
        <v>0</v>
      </c>
      <c r="K330" s="478">
        <f t="shared" si="68"/>
        <v>0</v>
      </c>
      <c r="L330" s="478">
        <f t="shared" ref="L330:L416" si="96">K330+J330</f>
        <v>0</v>
      </c>
    </row>
    <row r="331" spans="1:13" ht="26.25" thickBot="1" x14ac:dyDescent="0.3">
      <c r="A331" s="326" t="s">
        <v>216</v>
      </c>
      <c r="B331" s="327" t="s">
        <v>9</v>
      </c>
      <c r="C331" s="327">
        <v>140200</v>
      </c>
      <c r="D331" s="328" t="str">
        <f>'MEMÓRIA DE CÁLCULO'!B551</f>
        <v>EST.MAD.TELHA FIBROCIM. COM APOIOS EM LAJES/VIGAS OU PAREDES(SOMENTE TERÇAS) C/FERRAGENS</v>
      </c>
      <c r="E331" s="329">
        <f>'MEMÓRIA DE CÁLCULO'!D554</f>
        <v>1008.3399999999999</v>
      </c>
      <c r="F331" s="327" t="s">
        <v>15</v>
      </c>
      <c r="G331" s="330"/>
      <c r="H331" s="330"/>
      <c r="I331" s="331">
        <f>(G331+H331)*E331</f>
        <v>0</v>
      </c>
      <c r="J331" s="478">
        <f t="shared" si="67"/>
        <v>0</v>
      </c>
      <c r="K331" s="478">
        <f t="shared" si="68"/>
        <v>0</v>
      </c>
      <c r="L331" s="478">
        <f t="shared" si="96"/>
        <v>0</v>
      </c>
    </row>
    <row r="332" spans="1:13" thickBot="1" x14ac:dyDescent="0.3">
      <c r="A332" s="492" t="s">
        <v>310</v>
      </c>
      <c r="B332" s="493"/>
      <c r="C332" s="493"/>
      <c r="D332" s="493"/>
      <c r="E332" s="493"/>
      <c r="F332" s="493"/>
      <c r="G332" s="493"/>
      <c r="H332" s="493"/>
      <c r="I332" s="315">
        <f>ROUND(SUM(I331),2)</f>
        <v>0</v>
      </c>
      <c r="J332" s="478">
        <f t="shared" si="67"/>
        <v>0</v>
      </c>
      <c r="K332" s="478">
        <f t="shared" si="68"/>
        <v>0</v>
      </c>
      <c r="L332" s="478">
        <f t="shared" si="96"/>
        <v>0</v>
      </c>
    </row>
    <row r="333" spans="1:13" thickBot="1" x14ac:dyDescent="0.3">
      <c r="A333" s="290" t="s">
        <v>2</v>
      </c>
      <c r="B333" s="290" t="s">
        <v>301</v>
      </c>
      <c r="C333" s="290" t="s">
        <v>302</v>
      </c>
      <c r="D333" s="316" t="s">
        <v>3</v>
      </c>
      <c r="E333" s="290" t="s">
        <v>4</v>
      </c>
      <c r="F333" s="290" t="s">
        <v>5</v>
      </c>
      <c r="G333" s="290" t="s">
        <v>6</v>
      </c>
      <c r="H333" s="290" t="s">
        <v>7</v>
      </c>
      <c r="I333" s="314" t="s">
        <v>8</v>
      </c>
      <c r="L333" s="478"/>
    </row>
    <row r="334" spans="1:13" ht="15" x14ac:dyDescent="0.25">
      <c r="A334" s="296">
        <v>12</v>
      </c>
      <c r="B334" s="297" t="s">
        <v>9</v>
      </c>
      <c r="C334" s="297">
        <v>150000</v>
      </c>
      <c r="D334" s="488" t="s">
        <v>31</v>
      </c>
      <c r="E334" s="488"/>
      <c r="F334" s="488"/>
      <c r="G334" s="488"/>
      <c r="H334" s="488"/>
      <c r="I334" s="489"/>
      <c r="J334" s="478">
        <f t="shared" si="67"/>
        <v>0</v>
      </c>
      <c r="K334" s="478">
        <f t="shared" si="68"/>
        <v>0</v>
      </c>
      <c r="L334" s="478">
        <f t="shared" si="96"/>
        <v>0</v>
      </c>
    </row>
    <row r="335" spans="1:13" ht="15" x14ac:dyDescent="0.25">
      <c r="A335" s="320" t="s">
        <v>221</v>
      </c>
      <c r="B335" s="305" t="s">
        <v>1121</v>
      </c>
      <c r="C335" s="305" t="s">
        <v>1124</v>
      </c>
      <c r="D335" s="306" t="str">
        <f>'MEMÓRIA DE CÁLCULO'!B557</f>
        <v xml:space="preserve">MARQUISE EM ACM (11,16 X 1,30) </v>
      </c>
      <c r="E335" s="301">
        <f>'MEMÓRIA DE CÁLCULO'!D557</f>
        <v>1</v>
      </c>
      <c r="F335" s="305" t="s">
        <v>278</v>
      </c>
      <c r="G335" s="490"/>
      <c r="H335" s="491"/>
      <c r="I335" s="368">
        <f>(H335+G335)*E335</f>
        <v>0</v>
      </c>
      <c r="J335" s="478">
        <f>(G335*E335)/2</f>
        <v>0</v>
      </c>
      <c r="K335" s="478">
        <f>J335</f>
        <v>0</v>
      </c>
      <c r="L335" s="478">
        <f t="shared" si="96"/>
        <v>0</v>
      </c>
    </row>
    <row r="336" spans="1:13" s="94" customFormat="1" ht="15" x14ac:dyDescent="0.25">
      <c r="A336" s="320" t="s">
        <v>1264</v>
      </c>
      <c r="B336" s="305" t="s">
        <v>1121</v>
      </c>
      <c r="C336" s="305" t="s">
        <v>1124</v>
      </c>
      <c r="D336" s="306" t="str">
        <f>'MEMÓRIA DE CÁLCULO'!B558</f>
        <v>MARQUISE EM ACM (17,32 X 2,57)</v>
      </c>
      <c r="E336" s="301">
        <f>'MEMÓRIA DE CÁLCULO'!D558</f>
        <v>1</v>
      </c>
      <c r="F336" s="305" t="s">
        <v>278</v>
      </c>
      <c r="G336" s="490"/>
      <c r="H336" s="491"/>
      <c r="I336" s="368">
        <f t="shared" ref="I336:I337" si="97">(H336+G336)*E336</f>
        <v>0</v>
      </c>
      <c r="J336" s="478">
        <f t="shared" ref="J336:J337" si="98">(G336*E336)/2</f>
        <v>0</v>
      </c>
      <c r="K336" s="478">
        <f t="shared" ref="K336:K337" si="99">J336</f>
        <v>0</v>
      </c>
      <c r="L336" s="478">
        <f t="shared" ref="L336:L337" si="100">K336+J336</f>
        <v>0</v>
      </c>
      <c r="M336" s="479"/>
    </row>
    <row r="337" spans="1:13" s="94" customFormat="1" thickBot="1" x14ac:dyDescent="0.3">
      <c r="A337" s="320" t="s">
        <v>1362</v>
      </c>
      <c r="B337" s="305" t="s">
        <v>1121</v>
      </c>
      <c r="C337" s="305" t="s">
        <v>1124</v>
      </c>
      <c r="D337" s="306" t="str">
        <f>'MEMÓRIA DE CÁLCULO'!B559</f>
        <v>MONUMENTO/TOTTEN EM ACM E ESTRUTURA METÁLICA (3,973 X 3,06)</v>
      </c>
      <c r="E337" s="301">
        <f>'MEMÓRIA DE CÁLCULO'!D559</f>
        <v>1</v>
      </c>
      <c r="F337" s="305" t="s">
        <v>278</v>
      </c>
      <c r="G337" s="337"/>
      <c r="H337" s="369"/>
      <c r="I337" s="368">
        <f t="shared" si="97"/>
        <v>0</v>
      </c>
      <c r="J337" s="478">
        <f t="shared" si="98"/>
        <v>0</v>
      </c>
      <c r="K337" s="478">
        <f t="shared" si="99"/>
        <v>0</v>
      </c>
      <c r="L337" s="478">
        <f t="shared" si="100"/>
        <v>0</v>
      </c>
      <c r="M337" s="479"/>
    </row>
    <row r="338" spans="1:13" thickBot="1" x14ac:dyDescent="0.3">
      <c r="A338" s="492" t="s">
        <v>310</v>
      </c>
      <c r="B338" s="493"/>
      <c r="C338" s="493"/>
      <c r="D338" s="493"/>
      <c r="E338" s="493"/>
      <c r="F338" s="493"/>
      <c r="G338" s="493"/>
      <c r="H338" s="493"/>
      <c r="I338" s="315">
        <f>ROUND(SUM(I335:I337),2)</f>
        <v>0</v>
      </c>
      <c r="J338" s="478">
        <f t="shared" ref="J338:J399" si="101">G338*E338</f>
        <v>0</v>
      </c>
      <c r="K338" s="478">
        <f t="shared" ref="K338:K399" si="102">H338*E338</f>
        <v>0</v>
      </c>
      <c r="L338" s="478">
        <f t="shared" si="96"/>
        <v>0</v>
      </c>
    </row>
    <row r="339" spans="1:13" thickBot="1" x14ac:dyDescent="0.3">
      <c r="A339" s="290" t="s">
        <v>2</v>
      </c>
      <c r="B339" s="290" t="s">
        <v>301</v>
      </c>
      <c r="C339" s="290" t="s">
        <v>302</v>
      </c>
      <c r="D339" s="316" t="s">
        <v>3</v>
      </c>
      <c r="E339" s="290" t="s">
        <v>4</v>
      </c>
      <c r="F339" s="290" t="s">
        <v>5</v>
      </c>
      <c r="G339" s="290" t="s">
        <v>6</v>
      </c>
      <c r="H339" s="290" t="s">
        <v>7</v>
      </c>
      <c r="I339" s="314" t="s">
        <v>8</v>
      </c>
      <c r="L339" s="478"/>
    </row>
    <row r="340" spans="1:13" ht="15" x14ac:dyDescent="0.25">
      <c r="A340" s="296">
        <v>13</v>
      </c>
      <c r="B340" s="297" t="s">
        <v>9</v>
      </c>
      <c r="C340" s="297">
        <v>160000</v>
      </c>
      <c r="D340" s="488" t="s">
        <v>32</v>
      </c>
      <c r="E340" s="488"/>
      <c r="F340" s="488"/>
      <c r="G340" s="488"/>
      <c r="H340" s="488"/>
      <c r="I340" s="489"/>
      <c r="J340" s="478">
        <f t="shared" si="101"/>
        <v>0</v>
      </c>
      <c r="K340" s="478">
        <f t="shared" si="102"/>
        <v>0</v>
      </c>
      <c r="L340" s="478">
        <f t="shared" si="96"/>
        <v>0</v>
      </c>
    </row>
    <row r="341" spans="1:13" ht="15" x14ac:dyDescent="0.25">
      <c r="A341" s="326" t="s">
        <v>219</v>
      </c>
      <c r="B341" s="327" t="s">
        <v>9</v>
      </c>
      <c r="C341" s="327">
        <v>160501</v>
      </c>
      <c r="D341" s="328" t="s">
        <v>672</v>
      </c>
      <c r="E341" s="329">
        <f>'MEMÓRIA DE CÁLCULO'!D564</f>
        <v>1008.3399999999999</v>
      </c>
      <c r="F341" s="327" t="s">
        <v>195</v>
      </c>
      <c r="G341" s="330"/>
      <c r="H341" s="330"/>
      <c r="I341" s="331">
        <f t="shared" ref="I341:I342" si="103">(G341+H341)*E341</f>
        <v>0</v>
      </c>
      <c r="J341" s="478">
        <f t="shared" si="101"/>
        <v>0</v>
      </c>
      <c r="K341" s="478">
        <f t="shared" si="102"/>
        <v>0</v>
      </c>
      <c r="L341" s="478">
        <f t="shared" ref="L341:L343" si="104">K341+J341</f>
        <v>0</v>
      </c>
    </row>
    <row r="342" spans="1:13" ht="15" x14ac:dyDescent="0.25">
      <c r="A342" s="320" t="s">
        <v>433</v>
      </c>
      <c r="B342" s="305" t="s">
        <v>9</v>
      </c>
      <c r="C342" s="305">
        <v>160502</v>
      </c>
      <c r="D342" s="306" t="s">
        <v>673</v>
      </c>
      <c r="E342" s="301">
        <f>'MEMÓRIA DE CÁLCULO'!D567</f>
        <v>39.46</v>
      </c>
      <c r="F342" s="305" t="s">
        <v>108</v>
      </c>
      <c r="G342" s="318"/>
      <c r="H342" s="318"/>
      <c r="I342" s="319">
        <f t="shared" si="103"/>
        <v>0</v>
      </c>
      <c r="J342" s="478">
        <f t="shared" si="101"/>
        <v>0</v>
      </c>
      <c r="K342" s="478">
        <f t="shared" si="102"/>
        <v>0</v>
      </c>
      <c r="L342" s="478">
        <f t="shared" si="104"/>
        <v>0</v>
      </c>
    </row>
    <row r="343" spans="1:13" s="94" customFormat="1" ht="15" x14ac:dyDescent="0.25">
      <c r="A343" s="326" t="s">
        <v>434</v>
      </c>
      <c r="B343" s="305" t="s">
        <v>9</v>
      </c>
      <c r="C343" s="305">
        <v>160600</v>
      </c>
      <c r="D343" s="306" t="str">
        <f>'MEMÓRIA DE CÁLCULO'!B568</f>
        <v>CALHA DE CHAPA GALVANIZADA</v>
      </c>
      <c r="E343" s="301">
        <f>'MEMÓRIA DE CÁLCULO'!D575</f>
        <v>94.876499999999993</v>
      </c>
      <c r="F343" s="305" t="s">
        <v>195</v>
      </c>
      <c r="G343" s="318"/>
      <c r="H343" s="318"/>
      <c r="I343" s="319">
        <f t="shared" ref="I343" si="105">(G343+H343)*E343</f>
        <v>0</v>
      </c>
      <c r="J343" s="478">
        <f t="shared" si="101"/>
        <v>0</v>
      </c>
      <c r="K343" s="478">
        <f t="shared" si="102"/>
        <v>0</v>
      </c>
      <c r="L343" s="478">
        <f t="shared" si="104"/>
        <v>0</v>
      </c>
      <c r="M343" s="479"/>
    </row>
    <row r="344" spans="1:13" ht="15" x14ac:dyDescent="0.25">
      <c r="A344" s="320" t="s">
        <v>220</v>
      </c>
      <c r="B344" s="305" t="s">
        <v>9</v>
      </c>
      <c r="C344" s="305">
        <v>160601</v>
      </c>
      <c r="D344" s="306" t="s">
        <v>217</v>
      </c>
      <c r="E344" s="301">
        <f>'MEMÓRIA DE CÁLCULO'!D581</f>
        <v>181.20000000000002</v>
      </c>
      <c r="F344" s="305" t="s">
        <v>108</v>
      </c>
      <c r="G344" s="318"/>
      <c r="H344" s="318"/>
      <c r="I344" s="319">
        <f t="shared" ref="I344:I345" si="106">(G344+H344)*E344</f>
        <v>0</v>
      </c>
      <c r="J344" s="478">
        <f t="shared" si="101"/>
        <v>0</v>
      </c>
      <c r="K344" s="478">
        <f t="shared" si="102"/>
        <v>0</v>
      </c>
      <c r="L344" s="478">
        <f t="shared" si="96"/>
        <v>0</v>
      </c>
    </row>
    <row r="345" spans="1:13" thickBot="1" x14ac:dyDescent="0.3">
      <c r="A345" s="326" t="s">
        <v>1397</v>
      </c>
      <c r="B345" s="333" t="s">
        <v>9</v>
      </c>
      <c r="C345" s="333">
        <v>160602</v>
      </c>
      <c r="D345" s="334" t="s">
        <v>218</v>
      </c>
      <c r="E345" s="335">
        <f>'MEMÓRIA DE CÁLCULO'!D587</f>
        <v>218.09000000000003</v>
      </c>
      <c r="F345" s="333" t="s">
        <v>25</v>
      </c>
      <c r="G345" s="336"/>
      <c r="H345" s="336"/>
      <c r="I345" s="319">
        <f t="shared" si="106"/>
        <v>0</v>
      </c>
      <c r="J345" s="478">
        <f t="shared" si="101"/>
        <v>0</v>
      </c>
      <c r="K345" s="478">
        <f t="shared" si="102"/>
        <v>0</v>
      </c>
      <c r="L345" s="478">
        <f t="shared" si="96"/>
        <v>0</v>
      </c>
    </row>
    <row r="346" spans="1:13" thickBot="1" x14ac:dyDescent="0.3">
      <c r="A346" s="492" t="s">
        <v>310</v>
      </c>
      <c r="B346" s="493"/>
      <c r="C346" s="493"/>
      <c r="D346" s="493"/>
      <c r="E346" s="493"/>
      <c r="F346" s="493"/>
      <c r="G346" s="493"/>
      <c r="H346" s="493"/>
      <c r="I346" s="315">
        <f>ROUND(SUM(I341:I345),2)</f>
        <v>0</v>
      </c>
      <c r="J346" s="478">
        <f t="shared" si="101"/>
        <v>0</v>
      </c>
      <c r="K346" s="478">
        <f t="shared" si="102"/>
        <v>0</v>
      </c>
      <c r="L346" s="478">
        <f t="shared" si="96"/>
        <v>0</v>
      </c>
    </row>
    <row r="347" spans="1:13" thickBot="1" x14ac:dyDescent="0.3">
      <c r="A347" s="290" t="s">
        <v>2</v>
      </c>
      <c r="B347" s="290" t="s">
        <v>301</v>
      </c>
      <c r="C347" s="290" t="s">
        <v>302</v>
      </c>
      <c r="D347" s="316" t="s">
        <v>3</v>
      </c>
      <c r="E347" s="290" t="s">
        <v>4</v>
      </c>
      <c r="F347" s="290" t="s">
        <v>5</v>
      </c>
      <c r="G347" s="290" t="s">
        <v>6</v>
      </c>
      <c r="H347" s="290" t="s">
        <v>7</v>
      </c>
      <c r="I347" s="314" t="s">
        <v>8</v>
      </c>
      <c r="L347" s="478"/>
    </row>
    <row r="348" spans="1:13" ht="15" x14ac:dyDescent="0.25">
      <c r="A348" s="296">
        <v>14</v>
      </c>
      <c r="B348" s="297" t="s">
        <v>9</v>
      </c>
      <c r="C348" s="297">
        <v>170000</v>
      </c>
      <c r="D348" s="488" t="s">
        <v>33</v>
      </c>
      <c r="E348" s="488"/>
      <c r="F348" s="488"/>
      <c r="G348" s="488"/>
      <c r="H348" s="488"/>
      <c r="I348" s="489"/>
      <c r="J348" s="478">
        <f t="shared" si="101"/>
        <v>0</v>
      </c>
      <c r="K348" s="478">
        <f t="shared" si="102"/>
        <v>0</v>
      </c>
      <c r="L348" s="478">
        <f t="shared" si="96"/>
        <v>0</v>
      </c>
    </row>
    <row r="349" spans="1:13" ht="15" x14ac:dyDescent="0.25">
      <c r="A349" s="320" t="s">
        <v>235</v>
      </c>
      <c r="B349" s="305" t="s">
        <v>9</v>
      </c>
      <c r="C349" s="305">
        <v>170103</v>
      </c>
      <c r="D349" s="306" t="s">
        <v>234</v>
      </c>
      <c r="E349" s="301">
        <f>'MEMÓRIA DE CÁLCULO'!D604</f>
        <v>13</v>
      </c>
      <c r="F349" s="305" t="s">
        <v>278</v>
      </c>
      <c r="G349" s="318"/>
      <c r="H349" s="318"/>
      <c r="I349" s="319">
        <f>(G349+H349)*E349</f>
        <v>0</v>
      </c>
      <c r="J349" s="478">
        <f t="shared" si="101"/>
        <v>0</v>
      </c>
      <c r="K349" s="478">
        <f t="shared" si="102"/>
        <v>0</v>
      </c>
      <c r="L349" s="478">
        <f t="shared" si="96"/>
        <v>0</v>
      </c>
    </row>
    <row r="350" spans="1:13" ht="15" x14ac:dyDescent="0.25">
      <c r="A350" s="320" t="s">
        <v>622</v>
      </c>
      <c r="B350" s="305" t="s">
        <v>9</v>
      </c>
      <c r="C350" s="305">
        <v>170110</v>
      </c>
      <c r="D350" s="306" t="s">
        <v>624</v>
      </c>
      <c r="E350" s="301">
        <f>'MEMÓRIA DE CÁLCULO'!D610</f>
        <v>4</v>
      </c>
      <c r="F350" s="305" t="s">
        <v>278</v>
      </c>
      <c r="G350" s="318"/>
      <c r="H350" s="318"/>
      <c r="I350" s="319">
        <f t="shared" ref="I350:I351" si="107">(G350+H350)*E350</f>
        <v>0</v>
      </c>
      <c r="J350" s="478">
        <f t="shared" si="101"/>
        <v>0</v>
      </c>
      <c r="K350" s="478">
        <f t="shared" si="102"/>
        <v>0</v>
      </c>
      <c r="L350" s="478">
        <f t="shared" si="96"/>
        <v>0</v>
      </c>
    </row>
    <row r="351" spans="1:13" ht="15" x14ac:dyDescent="0.25">
      <c r="A351" s="320" t="s">
        <v>623</v>
      </c>
      <c r="B351" s="305" t="s">
        <v>9</v>
      </c>
      <c r="C351" s="305">
        <v>170111</v>
      </c>
      <c r="D351" s="306" t="s">
        <v>625</v>
      </c>
      <c r="E351" s="301">
        <f>'MEMÓRIA DE CÁLCULO'!D640</f>
        <v>28</v>
      </c>
      <c r="F351" s="305" t="s">
        <v>278</v>
      </c>
      <c r="G351" s="318"/>
      <c r="H351" s="318"/>
      <c r="I351" s="319">
        <f t="shared" si="107"/>
        <v>0</v>
      </c>
      <c r="J351" s="478">
        <f t="shared" si="101"/>
        <v>0</v>
      </c>
      <c r="K351" s="478">
        <f t="shared" si="102"/>
        <v>0</v>
      </c>
      <c r="L351" s="478">
        <f t="shared" ref="L351:L356" si="108">K351+J351</f>
        <v>0</v>
      </c>
    </row>
    <row r="352" spans="1:13" ht="15" x14ac:dyDescent="0.25">
      <c r="A352" s="320" t="s">
        <v>682</v>
      </c>
      <c r="B352" s="305" t="s">
        <v>9</v>
      </c>
      <c r="C352" s="305">
        <v>170107</v>
      </c>
      <c r="D352" s="306" t="s">
        <v>685</v>
      </c>
      <c r="E352" s="301">
        <f>'MEMÓRIA DE CÁLCULO'!D650</f>
        <v>18</v>
      </c>
      <c r="F352" s="305" t="s">
        <v>278</v>
      </c>
      <c r="G352" s="318"/>
      <c r="H352" s="318"/>
      <c r="I352" s="319">
        <f t="shared" ref="I352" si="109">(G352+H352)*E352</f>
        <v>0</v>
      </c>
      <c r="J352" s="478">
        <f t="shared" si="101"/>
        <v>0</v>
      </c>
      <c r="K352" s="478">
        <f t="shared" si="102"/>
        <v>0</v>
      </c>
      <c r="L352" s="478">
        <f t="shared" si="108"/>
        <v>0</v>
      </c>
    </row>
    <row r="353" spans="1:13" ht="15" x14ac:dyDescent="0.25">
      <c r="A353" s="320" t="s">
        <v>683</v>
      </c>
      <c r="B353" s="305" t="s">
        <v>9</v>
      </c>
      <c r="C353" s="305">
        <v>170010</v>
      </c>
      <c r="D353" s="306" t="s">
        <v>688</v>
      </c>
      <c r="E353" s="301">
        <f>'MEMÓRIA DE CÁLCULO'!D656</f>
        <v>104</v>
      </c>
      <c r="F353" s="305" t="s">
        <v>108</v>
      </c>
      <c r="G353" s="318"/>
      <c r="H353" s="318"/>
      <c r="I353" s="319">
        <f t="shared" ref="I353" si="110">(G353+H353)*E353</f>
        <v>0</v>
      </c>
      <c r="J353" s="478">
        <f t="shared" si="101"/>
        <v>0</v>
      </c>
      <c r="K353" s="478">
        <f t="shared" si="102"/>
        <v>0</v>
      </c>
      <c r="L353" s="478">
        <f t="shared" si="108"/>
        <v>0</v>
      </c>
    </row>
    <row r="354" spans="1:13" ht="15" x14ac:dyDescent="0.25">
      <c r="A354" s="320" t="s">
        <v>684</v>
      </c>
      <c r="B354" s="305" t="s">
        <v>9</v>
      </c>
      <c r="C354" s="305">
        <v>170015</v>
      </c>
      <c r="D354" s="306" t="s">
        <v>687</v>
      </c>
      <c r="E354" s="301">
        <f>'MEMÓRIA DE CÁLCULO'!D659</f>
        <v>9</v>
      </c>
      <c r="F354" s="305" t="s">
        <v>686</v>
      </c>
      <c r="G354" s="318"/>
      <c r="H354" s="318"/>
      <c r="I354" s="319">
        <f t="shared" ref="I354" si="111">(G354+H354)*E354</f>
        <v>0</v>
      </c>
      <c r="J354" s="478">
        <f t="shared" si="101"/>
        <v>0</v>
      </c>
      <c r="K354" s="478">
        <f t="shared" si="102"/>
        <v>0</v>
      </c>
      <c r="L354" s="478">
        <f t="shared" si="108"/>
        <v>0</v>
      </c>
    </row>
    <row r="355" spans="1:13" s="94" customFormat="1" ht="15" x14ac:dyDescent="0.25">
      <c r="A355" s="320" t="s">
        <v>1365</v>
      </c>
      <c r="B355" s="305" t="s">
        <v>1121</v>
      </c>
      <c r="C355" s="305" t="s">
        <v>1124</v>
      </c>
      <c r="D355" s="338" t="str">
        <f>'MEMÓRIA DE CÁLCULO'!B660</f>
        <v>PORTA DE ABRIR EM CHAPA DE MADEIRA COM PROTEÇÃO RADIOLÓGICA (0,90 X 2,10)</v>
      </c>
      <c r="E355" s="301">
        <f>'MEMÓRIA DE CÁLCULO'!D663</f>
        <v>2</v>
      </c>
      <c r="F355" s="305" t="s">
        <v>278</v>
      </c>
      <c r="G355" s="490"/>
      <c r="H355" s="491"/>
      <c r="I355" s="319">
        <f t="shared" ref="I355:I356" si="112">(G355+H355)*E355</f>
        <v>0</v>
      </c>
      <c r="J355" s="478">
        <f t="shared" si="101"/>
        <v>0</v>
      </c>
      <c r="K355" s="478">
        <f>J355/2</f>
        <v>0</v>
      </c>
      <c r="L355" s="478">
        <f t="shared" si="108"/>
        <v>0</v>
      </c>
      <c r="M355" s="479"/>
    </row>
    <row r="356" spans="1:13" s="94" customFormat="1" thickBot="1" x14ac:dyDescent="0.3">
      <c r="A356" s="320" t="s">
        <v>1370</v>
      </c>
      <c r="B356" s="305" t="s">
        <v>1121</v>
      </c>
      <c r="C356" s="305" t="s">
        <v>1124</v>
      </c>
      <c r="D356" s="306" t="str">
        <f>'MEMÓRIA DE CÁLCULO'!B664</f>
        <v>PORTA DE ABRIR EM CHAPA DE MADEIRA COM PROTEÇÃO RADIOLÓGICA (1,40 X 2,10)</v>
      </c>
      <c r="E356" s="301">
        <f>'MEMÓRIA DE CÁLCULO'!D666</f>
        <v>1</v>
      </c>
      <c r="F356" s="305" t="s">
        <v>278</v>
      </c>
      <c r="G356" s="490"/>
      <c r="H356" s="491"/>
      <c r="I356" s="319">
        <f t="shared" si="112"/>
        <v>0</v>
      </c>
      <c r="J356" s="478">
        <f t="shared" si="101"/>
        <v>0</v>
      </c>
      <c r="K356" s="478">
        <f>J356/2</f>
        <v>0</v>
      </c>
      <c r="L356" s="478">
        <f t="shared" si="108"/>
        <v>0</v>
      </c>
      <c r="M356" s="479"/>
    </row>
    <row r="357" spans="1:13" thickBot="1" x14ac:dyDescent="0.3">
      <c r="A357" s="492" t="s">
        <v>310</v>
      </c>
      <c r="B357" s="493"/>
      <c r="C357" s="493"/>
      <c r="D357" s="493"/>
      <c r="E357" s="493"/>
      <c r="F357" s="493"/>
      <c r="G357" s="493"/>
      <c r="H357" s="493"/>
      <c r="I357" s="315">
        <f>ROUND(SUM(I349:I356),2)</f>
        <v>0</v>
      </c>
      <c r="J357" s="478">
        <f t="shared" si="101"/>
        <v>0</v>
      </c>
      <c r="K357" s="478">
        <f t="shared" si="102"/>
        <v>0</v>
      </c>
      <c r="L357" s="478">
        <f t="shared" si="96"/>
        <v>0</v>
      </c>
    </row>
    <row r="358" spans="1:13" thickBot="1" x14ac:dyDescent="0.3">
      <c r="A358" s="290" t="s">
        <v>2</v>
      </c>
      <c r="B358" s="290" t="s">
        <v>301</v>
      </c>
      <c r="C358" s="290" t="s">
        <v>302</v>
      </c>
      <c r="D358" s="316" t="s">
        <v>3</v>
      </c>
      <c r="E358" s="290" t="s">
        <v>4</v>
      </c>
      <c r="F358" s="290" t="s">
        <v>5</v>
      </c>
      <c r="G358" s="290" t="s">
        <v>6</v>
      </c>
      <c r="H358" s="290" t="s">
        <v>7</v>
      </c>
      <c r="I358" s="314" t="s">
        <v>8</v>
      </c>
      <c r="L358" s="478"/>
    </row>
    <row r="359" spans="1:13" ht="15" x14ac:dyDescent="0.25">
      <c r="A359" s="296">
        <v>15</v>
      </c>
      <c r="B359" s="297" t="s">
        <v>9</v>
      </c>
      <c r="C359" s="297">
        <v>180000</v>
      </c>
      <c r="D359" s="488" t="s">
        <v>34</v>
      </c>
      <c r="E359" s="488"/>
      <c r="F359" s="488"/>
      <c r="G359" s="488"/>
      <c r="H359" s="488"/>
      <c r="I359" s="489"/>
      <c r="J359" s="478">
        <f t="shared" si="101"/>
        <v>0</v>
      </c>
      <c r="K359" s="478">
        <f t="shared" si="102"/>
        <v>0</v>
      </c>
      <c r="L359" s="478">
        <f t="shared" si="96"/>
        <v>0</v>
      </c>
    </row>
    <row r="360" spans="1:13" ht="15" x14ac:dyDescent="0.25">
      <c r="A360" s="320" t="s">
        <v>236</v>
      </c>
      <c r="B360" s="305" t="s">
        <v>9</v>
      </c>
      <c r="C360" s="370">
        <v>180504</v>
      </c>
      <c r="D360" s="371" t="s">
        <v>659</v>
      </c>
      <c r="E360" s="301">
        <f>'MEMÓRIA DE CÁLCULO'!D678</f>
        <v>27.450000000000003</v>
      </c>
      <c r="F360" s="305" t="s">
        <v>195</v>
      </c>
      <c r="G360" s="318"/>
      <c r="H360" s="318"/>
      <c r="I360" s="319">
        <f>(G360+H360)*E360</f>
        <v>0</v>
      </c>
      <c r="J360" s="478">
        <f t="shared" si="101"/>
        <v>0</v>
      </c>
      <c r="K360" s="478">
        <f t="shared" si="102"/>
        <v>0</v>
      </c>
      <c r="L360" s="478">
        <f t="shared" si="96"/>
        <v>0</v>
      </c>
    </row>
    <row r="361" spans="1:13" ht="15" x14ac:dyDescent="0.25">
      <c r="A361" s="320" t="s">
        <v>237</v>
      </c>
      <c r="B361" s="305" t="s">
        <v>9</v>
      </c>
      <c r="C361" s="370">
        <v>180507</v>
      </c>
      <c r="D361" s="372" t="s">
        <v>700</v>
      </c>
      <c r="E361" s="301">
        <f>'MEMÓRIA DE CÁLCULO'!D681</f>
        <v>4.2</v>
      </c>
      <c r="F361" s="305" t="s">
        <v>195</v>
      </c>
      <c r="G361" s="373"/>
      <c r="H361" s="374"/>
      <c r="I361" s="319">
        <f t="shared" ref="I361" si="113">(G361+H361)*E361</f>
        <v>0</v>
      </c>
      <c r="J361" s="478">
        <f t="shared" si="101"/>
        <v>0</v>
      </c>
      <c r="K361" s="478">
        <f t="shared" si="102"/>
        <v>0</v>
      </c>
      <c r="L361" s="478">
        <f t="shared" ref="L361" si="114">K361+J361</f>
        <v>0</v>
      </c>
    </row>
    <row r="362" spans="1:13" ht="15" x14ac:dyDescent="0.25">
      <c r="A362" s="320" t="s">
        <v>435</v>
      </c>
      <c r="B362" s="305" t="s">
        <v>9</v>
      </c>
      <c r="C362" s="370">
        <v>180309</v>
      </c>
      <c r="D362" s="372" t="s">
        <v>701</v>
      </c>
      <c r="E362" s="301">
        <f>'MEMÓRIA DE CÁLCULO'!D685</f>
        <v>36</v>
      </c>
      <c r="F362" s="305" t="s">
        <v>195</v>
      </c>
      <c r="G362" s="373"/>
      <c r="H362" s="374"/>
      <c r="I362" s="319">
        <f t="shared" ref="I362" si="115">(G362+H362)*E362</f>
        <v>0</v>
      </c>
      <c r="J362" s="478">
        <f t="shared" si="101"/>
        <v>0</v>
      </c>
      <c r="K362" s="478">
        <f t="shared" si="102"/>
        <v>0</v>
      </c>
      <c r="L362" s="478">
        <f t="shared" ref="L362" si="116">K362+J362</f>
        <v>0</v>
      </c>
    </row>
    <row r="363" spans="1:13" ht="15" x14ac:dyDescent="0.25">
      <c r="A363" s="320" t="s">
        <v>657</v>
      </c>
      <c r="B363" s="305" t="s">
        <v>9</v>
      </c>
      <c r="C363" s="370">
        <v>180302</v>
      </c>
      <c r="D363" s="372" t="s">
        <v>702</v>
      </c>
      <c r="E363" s="301">
        <f>'MEMÓRIA DE CÁLCULO'!D692</f>
        <v>21</v>
      </c>
      <c r="F363" s="305" t="s">
        <v>195</v>
      </c>
      <c r="G363" s="373"/>
      <c r="H363" s="374"/>
      <c r="I363" s="319">
        <f t="shared" ref="I363" si="117">(G363+H363)*E363</f>
        <v>0</v>
      </c>
      <c r="J363" s="478">
        <f t="shared" si="101"/>
        <v>0</v>
      </c>
      <c r="K363" s="478">
        <f t="shared" si="102"/>
        <v>0</v>
      </c>
      <c r="L363" s="478">
        <f t="shared" ref="L363" si="118">K363+J363</f>
        <v>0</v>
      </c>
    </row>
    <row r="364" spans="1:13" ht="15" x14ac:dyDescent="0.25">
      <c r="A364" s="320" t="s">
        <v>238</v>
      </c>
      <c r="B364" s="305" t="s">
        <v>747</v>
      </c>
      <c r="C364" s="370" t="str">
        <f>COMPOSIÇÃO!A13</f>
        <v>CP. 01</v>
      </c>
      <c r="D364" s="372" t="str">
        <f>COMPOSIÇÃO!D13</f>
        <v>PORTA DE ALUMÍNIO VAI E VEM C/ 1 FOLHA</v>
      </c>
      <c r="E364" s="301">
        <f>'MEMÓRIA DE CÁLCULO'!D695</f>
        <v>2.1</v>
      </c>
      <c r="F364" s="305" t="s">
        <v>195</v>
      </c>
      <c r="G364" s="373"/>
      <c r="H364" s="374"/>
      <c r="I364" s="319">
        <f t="shared" ref="I364:I366" si="119">(G364+H364)*E364</f>
        <v>0</v>
      </c>
      <c r="J364" s="478">
        <f t="shared" si="101"/>
        <v>0</v>
      </c>
      <c r="K364" s="478">
        <f t="shared" si="102"/>
        <v>0</v>
      </c>
      <c r="L364" s="478">
        <f t="shared" ref="L364:L366" si="120">K364+J364</f>
        <v>0</v>
      </c>
    </row>
    <row r="365" spans="1:13" ht="15" x14ac:dyDescent="0.25">
      <c r="A365" s="320" t="s">
        <v>239</v>
      </c>
      <c r="B365" s="305" t="s">
        <v>9</v>
      </c>
      <c r="C365" s="370">
        <v>180115</v>
      </c>
      <c r="D365" s="372" t="s">
        <v>788</v>
      </c>
      <c r="E365" s="301">
        <f>'MEMÓRIA DE CÁLCULO'!D701</f>
        <v>80.16</v>
      </c>
      <c r="F365" s="305" t="s">
        <v>195</v>
      </c>
      <c r="G365" s="373"/>
      <c r="H365" s="374"/>
      <c r="I365" s="319">
        <f t="shared" si="119"/>
        <v>0</v>
      </c>
      <c r="J365" s="478">
        <f t="shared" si="101"/>
        <v>0</v>
      </c>
      <c r="K365" s="478">
        <f t="shared" si="102"/>
        <v>0</v>
      </c>
      <c r="L365" s="478">
        <f t="shared" si="120"/>
        <v>0</v>
      </c>
    </row>
    <row r="366" spans="1:13" ht="26.25" thickBot="1" x14ac:dyDescent="0.3">
      <c r="A366" s="320" t="s">
        <v>658</v>
      </c>
      <c r="B366" s="305" t="s">
        <v>9</v>
      </c>
      <c r="C366" s="370">
        <v>180101</v>
      </c>
      <c r="D366" s="372" t="s">
        <v>793</v>
      </c>
      <c r="E366" s="301">
        <f>'MEMÓRIA DE CÁLCULO'!D704</f>
        <v>22.5</v>
      </c>
      <c r="F366" s="305" t="s">
        <v>195</v>
      </c>
      <c r="G366" s="373"/>
      <c r="H366" s="374"/>
      <c r="I366" s="319">
        <f t="shared" si="119"/>
        <v>0</v>
      </c>
      <c r="J366" s="478">
        <f t="shared" si="101"/>
        <v>0</v>
      </c>
      <c r="K366" s="478">
        <f t="shared" si="102"/>
        <v>0</v>
      </c>
      <c r="L366" s="478">
        <f t="shared" si="120"/>
        <v>0</v>
      </c>
    </row>
    <row r="367" spans="1:13" thickBot="1" x14ac:dyDescent="0.3">
      <c r="A367" s="492" t="s">
        <v>310</v>
      </c>
      <c r="B367" s="493"/>
      <c r="C367" s="493"/>
      <c r="D367" s="493"/>
      <c r="E367" s="493"/>
      <c r="F367" s="493"/>
      <c r="G367" s="493"/>
      <c r="H367" s="493"/>
      <c r="I367" s="315">
        <f>ROUND(SUM(I360:I366),2)</f>
        <v>0</v>
      </c>
      <c r="J367" s="478">
        <f t="shared" si="101"/>
        <v>0</v>
      </c>
      <c r="K367" s="478">
        <f t="shared" si="102"/>
        <v>0</v>
      </c>
      <c r="L367" s="478">
        <f t="shared" si="96"/>
        <v>0</v>
      </c>
    </row>
    <row r="368" spans="1:13" thickBot="1" x14ac:dyDescent="0.3">
      <c r="A368" s="290" t="s">
        <v>2</v>
      </c>
      <c r="B368" s="290" t="s">
        <v>301</v>
      </c>
      <c r="C368" s="290" t="s">
        <v>302</v>
      </c>
      <c r="D368" s="316" t="s">
        <v>3</v>
      </c>
      <c r="E368" s="290" t="s">
        <v>4</v>
      </c>
      <c r="F368" s="290" t="s">
        <v>5</v>
      </c>
      <c r="G368" s="290" t="s">
        <v>6</v>
      </c>
      <c r="H368" s="290" t="s">
        <v>7</v>
      </c>
      <c r="I368" s="314"/>
      <c r="L368" s="478"/>
    </row>
    <row r="369" spans="1:13" ht="15" x14ac:dyDescent="0.25">
      <c r="A369" s="296">
        <v>16</v>
      </c>
      <c r="B369" s="297" t="s">
        <v>9</v>
      </c>
      <c r="C369" s="297">
        <v>190000</v>
      </c>
      <c r="D369" s="488" t="s">
        <v>35</v>
      </c>
      <c r="E369" s="488"/>
      <c r="F369" s="488"/>
      <c r="G369" s="488"/>
      <c r="H369" s="488"/>
      <c r="I369" s="489"/>
      <c r="J369" s="478">
        <f t="shared" si="101"/>
        <v>0</v>
      </c>
      <c r="K369" s="478">
        <f t="shared" si="102"/>
        <v>0</v>
      </c>
      <c r="L369" s="478">
        <f t="shared" si="96"/>
        <v>0</v>
      </c>
    </row>
    <row r="370" spans="1:13" ht="15" x14ac:dyDescent="0.25">
      <c r="A370" s="320" t="s">
        <v>241</v>
      </c>
      <c r="B370" s="305" t="s">
        <v>9</v>
      </c>
      <c r="C370" s="370">
        <v>190102</v>
      </c>
      <c r="D370" s="372" t="s">
        <v>240</v>
      </c>
      <c r="E370" s="301">
        <f>'MEMÓRIA DE CÁLCULO'!D709</f>
        <v>102.66</v>
      </c>
      <c r="F370" s="305" t="s">
        <v>195</v>
      </c>
      <c r="G370" s="373"/>
      <c r="H370" s="374"/>
      <c r="I370" s="319">
        <f>(G370+H370)*E370</f>
        <v>0</v>
      </c>
      <c r="J370" s="478">
        <f t="shared" si="101"/>
        <v>0</v>
      </c>
      <c r="K370" s="478">
        <f t="shared" si="102"/>
        <v>0</v>
      </c>
      <c r="L370" s="478">
        <f t="shared" si="96"/>
        <v>0</v>
      </c>
    </row>
    <row r="371" spans="1:13" ht="15" x14ac:dyDescent="0.25">
      <c r="A371" s="320" t="s">
        <v>783</v>
      </c>
      <c r="B371" s="305" t="s">
        <v>747</v>
      </c>
      <c r="C371" s="370" t="str">
        <f>COMPOSIÇÃO!A34</f>
        <v>CP. 02</v>
      </c>
      <c r="D371" s="372" t="str">
        <f>COMPOSIÇÃO!D34</f>
        <v>PORTA DE VIDRO TEMPERADO CORRER C/ 4 FOLHA</v>
      </c>
      <c r="E371" s="301">
        <f>'MEMÓRIA DE CÁLCULO'!D712</f>
        <v>1</v>
      </c>
      <c r="F371" s="305" t="s">
        <v>278</v>
      </c>
      <c r="G371" s="373"/>
      <c r="H371" s="374"/>
      <c r="I371" s="319">
        <f t="shared" ref="I371:I372" si="121">(G371+H371)*E371</f>
        <v>0</v>
      </c>
      <c r="J371" s="478">
        <f t="shared" si="101"/>
        <v>0</v>
      </c>
      <c r="K371" s="478">
        <f t="shared" si="102"/>
        <v>0</v>
      </c>
      <c r="L371" s="478">
        <f t="shared" ref="L371:L372" si="122">K371+J371</f>
        <v>0</v>
      </c>
    </row>
    <row r="372" spans="1:13" thickBot="1" x14ac:dyDescent="0.3">
      <c r="A372" s="320" t="s">
        <v>784</v>
      </c>
      <c r="B372" s="305" t="s">
        <v>747</v>
      </c>
      <c r="C372" s="370" t="str">
        <f>COMPOSIÇÃO!A46</f>
        <v>CP. 03</v>
      </c>
      <c r="D372" s="372" t="str">
        <f>COMPOSIÇÃO!D46</f>
        <v>PORTA DE VIDRO TEMPERADO CORRER C/ 2 FOLHA</v>
      </c>
      <c r="E372" s="301">
        <f>'MEMÓRIA DE CÁLCULO'!D715</f>
        <v>1</v>
      </c>
      <c r="F372" s="305" t="s">
        <v>278</v>
      </c>
      <c r="G372" s="373"/>
      <c r="H372" s="374"/>
      <c r="I372" s="319">
        <f t="shared" si="121"/>
        <v>0</v>
      </c>
      <c r="J372" s="478">
        <f t="shared" si="101"/>
        <v>0</v>
      </c>
      <c r="K372" s="478">
        <f t="shared" si="102"/>
        <v>0</v>
      </c>
      <c r="L372" s="478">
        <f t="shared" si="122"/>
        <v>0</v>
      </c>
    </row>
    <row r="373" spans="1:13" thickBot="1" x14ac:dyDescent="0.3">
      <c r="A373" s="492" t="s">
        <v>310</v>
      </c>
      <c r="B373" s="493"/>
      <c r="C373" s="493"/>
      <c r="D373" s="493"/>
      <c r="E373" s="493"/>
      <c r="F373" s="493"/>
      <c r="G373" s="493"/>
      <c r="H373" s="493"/>
      <c r="I373" s="315">
        <f>SUM(I370:I372)</f>
        <v>0</v>
      </c>
      <c r="J373" s="478">
        <f t="shared" si="101"/>
        <v>0</v>
      </c>
      <c r="K373" s="478">
        <f t="shared" si="102"/>
        <v>0</v>
      </c>
      <c r="L373" s="478">
        <f t="shared" si="96"/>
        <v>0</v>
      </c>
    </row>
    <row r="374" spans="1:13" thickBot="1" x14ac:dyDescent="0.3">
      <c r="A374" s="290" t="s">
        <v>2</v>
      </c>
      <c r="B374" s="290" t="s">
        <v>301</v>
      </c>
      <c r="C374" s="290" t="s">
        <v>302</v>
      </c>
      <c r="D374" s="316" t="s">
        <v>3</v>
      </c>
      <c r="E374" s="290" t="s">
        <v>4</v>
      </c>
      <c r="F374" s="290" t="s">
        <v>5</v>
      </c>
      <c r="G374" s="290" t="s">
        <v>6</v>
      </c>
      <c r="H374" s="290" t="s">
        <v>7</v>
      </c>
      <c r="I374" s="314" t="s">
        <v>8</v>
      </c>
      <c r="L374" s="478"/>
    </row>
    <row r="375" spans="1:13" ht="15" x14ac:dyDescent="0.25">
      <c r="A375" s="296">
        <v>17</v>
      </c>
      <c r="B375" s="297" t="s">
        <v>9</v>
      </c>
      <c r="C375" s="297">
        <v>200000</v>
      </c>
      <c r="D375" s="488" t="s">
        <v>36</v>
      </c>
      <c r="E375" s="488"/>
      <c r="F375" s="488"/>
      <c r="G375" s="488"/>
      <c r="H375" s="488"/>
      <c r="I375" s="489"/>
      <c r="J375" s="478">
        <f t="shared" si="101"/>
        <v>0</v>
      </c>
      <c r="K375" s="478">
        <f t="shared" si="102"/>
        <v>0</v>
      </c>
      <c r="L375" s="478">
        <f t="shared" si="96"/>
        <v>0</v>
      </c>
    </row>
    <row r="376" spans="1:13" ht="15" x14ac:dyDescent="0.25">
      <c r="A376" s="320" t="s">
        <v>230</v>
      </c>
      <c r="B376" s="305" t="s">
        <v>9</v>
      </c>
      <c r="C376" s="305">
        <v>200101</v>
      </c>
      <c r="D376" s="306" t="s">
        <v>228</v>
      </c>
      <c r="E376" s="301">
        <f>'MEMÓRIA DE CÁLCULO'!D722</f>
        <v>5900.7750000000005</v>
      </c>
      <c r="F376" s="305" t="s">
        <v>15</v>
      </c>
      <c r="G376" s="318"/>
      <c r="H376" s="318"/>
      <c r="I376" s="319">
        <f>(G376+H376)*E376</f>
        <v>0</v>
      </c>
      <c r="J376" s="478">
        <f t="shared" si="101"/>
        <v>0</v>
      </c>
      <c r="K376" s="478">
        <f t="shared" si="102"/>
        <v>0</v>
      </c>
      <c r="L376" s="478">
        <f t="shared" si="96"/>
        <v>0</v>
      </c>
    </row>
    <row r="377" spans="1:13" ht="15" x14ac:dyDescent="0.25">
      <c r="A377" s="320" t="s">
        <v>231</v>
      </c>
      <c r="B377" s="305" t="s">
        <v>9</v>
      </c>
      <c r="C377" s="305">
        <v>200201</v>
      </c>
      <c r="D377" s="306" t="s">
        <v>296</v>
      </c>
      <c r="E377" s="301">
        <f>'MEMÓRIA DE CÁLCULO'!D725</f>
        <v>666.16499999999974</v>
      </c>
      <c r="F377" s="305" t="s">
        <v>195</v>
      </c>
      <c r="G377" s="318"/>
      <c r="H377" s="318"/>
      <c r="I377" s="319">
        <f t="shared" ref="I377:I380" si="123">(G377+H377)*E377</f>
        <v>0</v>
      </c>
      <c r="J377" s="478">
        <f t="shared" si="101"/>
        <v>0</v>
      </c>
      <c r="K377" s="478">
        <f t="shared" si="102"/>
        <v>0</v>
      </c>
      <c r="L377" s="478">
        <f t="shared" si="96"/>
        <v>0</v>
      </c>
    </row>
    <row r="378" spans="1:13" ht="15" x14ac:dyDescent="0.25">
      <c r="A378" s="320" t="s">
        <v>232</v>
      </c>
      <c r="B378" s="305" t="s">
        <v>9</v>
      </c>
      <c r="C378" s="305">
        <v>200403</v>
      </c>
      <c r="D378" s="306" t="s">
        <v>295</v>
      </c>
      <c r="E378" s="301">
        <f>'MEMÓRIA DE CÁLCULO'!D729</f>
        <v>5234.6100000000006</v>
      </c>
      <c r="F378" s="305" t="s">
        <v>195</v>
      </c>
      <c r="G378" s="318"/>
      <c r="H378" s="318"/>
      <c r="I378" s="319">
        <f t="shared" si="123"/>
        <v>0</v>
      </c>
      <c r="J378" s="478">
        <f t="shared" si="101"/>
        <v>0</v>
      </c>
      <c r="K378" s="478">
        <f t="shared" si="102"/>
        <v>0</v>
      </c>
      <c r="L378" s="478">
        <f t="shared" si="96"/>
        <v>0</v>
      </c>
    </row>
    <row r="379" spans="1:13" ht="15" x14ac:dyDescent="0.25">
      <c r="A379" s="320" t="s">
        <v>233</v>
      </c>
      <c r="B379" s="322" t="s">
        <v>9</v>
      </c>
      <c r="C379" s="322">
        <v>201302</v>
      </c>
      <c r="D379" s="323" t="s">
        <v>229</v>
      </c>
      <c r="E379" s="324">
        <f>'MEMÓRIA DE CÁLCULO'!D804</f>
        <v>666.16499999999974</v>
      </c>
      <c r="F379" s="333" t="s">
        <v>195</v>
      </c>
      <c r="G379" s="325"/>
      <c r="H379" s="325"/>
      <c r="I379" s="319">
        <f t="shared" si="123"/>
        <v>0</v>
      </c>
      <c r="J379" s="478">
        <f t="shared" si="101"/>
        <v>0</v>
      </c>
      <c r="K379" s="478">
        <f t="shared" si="102"/>
        <v>0</v>
      </c>
      <c r="L379" s="478">
        <f t="shared" si="96"/>
        <v>0</v>
      </c>
    </row>
    <row r="380" spans="1:13" s="94" customFormat="1" thickBot="1" x14ac:dyDescent="0.3">
      <c r="A380" s="320" t="s">
        <v>1404</v>
      </c>
      <c r="B380" s="322" t="s">
        <v>9</v>
      </c>
      <c r="C380" s="322">
        <v>201371</v>
      </c>
      <c r="D380" s="323" t="str">
        <f>'MEMÓRIA DE CÁLCULO'!B805</f>
        <v>REVESTIMENTO COM BARITA - RX GABINETE MÉDICO</v>
      </c>
      <c r="E380" s="324">
        <f>'MEMÓRIA DE CÁLCULO'!D808</f>
        <v>75.334999999999994</v>
      </c>
      <c r="F380" s="333" t="s">
        <v>195</v>
      </c>
      <c r="G380" s="325"/>
      <c r="H380" s="325"/>
      <c r="I380" s="319">
        <f t="shared" si="123"/>
        <v>0</v>
      </c>
      <c r="J380" s="478">
        <f t="shared" si="101"/>
        <v>0</v>
      </c>
      <c r="K380" s="478">
        <f t="shared" si="102"/>
        <v>0</v>
      </c>
      <c r="L380" s="478"/>
      <c r="M380" s="479"/>
    </row>
    <row r="381" spans="1:13" thickBot="1" x14ac:dyDescent="0.3">
      <c r="A381" s="492" t="s">
        <v>310</v>
      </c>
      <c r="B381" s="493"/>
      <c r="C381" s="493"/>
      <c r="D381" s="493"/>
      <c r="E381" s="493"/>
      <c r="F381" s="493"/>
      <c r="G381" s="493"/>
      <c r="H381" s="493"/>
      <c r="I381" s="315">
        <f>ROUND(SUM(I376:I380),2)</f>
        <v>0</v>
      </c>
      <c r="J381" s="478">
        <f t="shared" si="101"/>
        <v>0</v>
      </c>
      <c r="K381" s="478">
        <f t="shared" si="102"/>
        <v>0</v>
      </c>
      <c r="L381" s="478">
        <f t="shared" si="96"/>
        <v>0</v>
      </c>
    </row>
    <row r="382" spans="1:13" thickBot="1" x14ac:dyDescent="0.3">
      <c r="A382" s="290" t="s">
        <v>2</v>
      </c>
      <c r="B382" s="290" t="s">
        <v>301</v>
      </c>
      <c r="C382" s="290" t="s">
        <v>302</v>
      </c>
      <c r="D382" s="316" t="s">
        <v>3</v>
      </c>
      <c r="E382" s="290" t="s">
        <v>4</v>
      </c>
      <c r="F382" s="290" t="s">
        <v>5</v>
      </c>
      <c r="G382" s="290" t="s">
        <v>6</v>
      </c>
      <c r="H382" s="290" t="s">
        <v>7</v>
      </c>
      <c r="I382" s="314" t="s">
        <v>8</v>
      </c>
      <c r="L382" s="478"/>
    </row>
    <row r="383" spans="1:13" ht="15" x14ac:dyDescent="0.25">
      <c r="A383" s="296">
        <v>18</v>
      </c>
      <c r="B383" s="297" t="s">
        <v>9</v>
      </c>
      <c r="C383" s="297">
        <v>210000</v>
      </c>
      <c r="D383" s="488" t="s">
        <v>37</v>
      </c>
      <c r="E383" s="488"/>
      <c r="F383" s="488"/>
      <c r="G383" s="488"/>
      <c r="H383" s="488"/>
      <c r="I383" s="489"/>
      <c r="J383" s="478">
        <f t="shared" si="101"/>
        <v>0</v>
      </c>
      <c r="K383" s="478">
        <f t="shared" si="102"/>
        <v>0</v>
      </c>
      <c r="L383" s="478">
        <f t="shared" si="96"/>
        <v>0</v>
      </c>
    </row>
    <row r="384" spans="1:13" ht="15" x14ac:dyDescent="0.25">
      <c r="A384" s="320" t="s">
        <v>243</v>
      </c>
      <c r="B384" s="322" t="s">
        <v>9</v>
      </c>
      <c r="C384" s="375">
        <v>210501</v>
      </c>
      <c r="D384" s="376" t="str">
        <f>'MEMÓRIA DE CÁLCULO'!B811</f>
        <v>FORRO DE GESSO COMUM</v>
      </c>
      <c r="E384" s="301">
        <f>'MEMÓRIA DE CÁLCULO'!D875</f>
        <v>778.8399999999998</v>
      </c>
      <c r="F384" s="305" t="s">
        <v>15</v>
      </c>
      <c r="G384" s="318"/>
      <c r="H384" s="318"/>
      <c r="I384" s="319">
        <f>(G384+H384)*E384</f>
        <v>0</v>
      </c>
      <c r="J384" s="478">
        <f t="shared" si="101"/>
        <v>0</v>
      </c>
      <c r="K384" s="478">
        <f t="shared" si="102"/>
        <v>0</v>
      </c>
      <c r="L384" s="478">
        <f t="shared" si="96"/>
        <v>0</v>
      </c>
    </row>
    <row r="385" spans="1:12" thickBot="1" x14ac:dyDescent="0.3">
      <c r="A385" s="377" t="s">
        <v>244</v>
      </c>
      <c r="B385" s="322" t="s">
        <v>9</v>
      </c>
      <c r="C385" s="378">
        <v>210515</v>
      </c>
      <c r="D385" s="379" t="s">
        <v>242</v>
      </c>
      <c r="E385" s="324">
        <f>'MEMÓRIA DE CÁLCULO'!D888</f>
        <v>162.5</v>
      </c>
      <c r="F385" s="322" t="s">
        <v>15</v>
      </c>
      <c r="G385" s="325"/>
      <c r="H385" s="325"/>
      <c r="I385" s="380">
        <f>(G385+H385)*E385</f>
        <v>0</v>
      </c>
      <c r="J385" s="478">
        <f t="shared" si="101"/>
        <v>0</v>
      </c>
      <c r="K385" s="478">
        <f t="shared" si="102"/>
        <v>0</v>
      </c>
      <c r="L385" s="478">
        <f t="shared" si="96"/>
        <v>0</v>
      </c>
    </row>
    <row r="386" spans="1:12" thickBot="1" x14ac:dyDescent="0.3">
      <c r="A386" s="492" t="s">
        <v>310</v>
      </c>
      <c r="B386" s="493"/>
      <c r="C386" s="493"/>
      <c r="D386" s="493"/>
      <c r="E386" s="493"/>
      <c r="F386" s="493"/>
      <c r="G386" s="493"/>
      <c r="H386" s="493"/>
      <c r="I386" s="315">
        <f>ROUND(SUM(I384:I385),2)</f>
        <v>0</v>
      </c>
      <c r="J386" s="478">
        <f t="shared" si="101"/>
        <v>0</v>
      </c>
      <c r="K386" s="478">
        <f t="shared" si="102"/>
        <v>0</v>
      </c>
      <c r="L386" s="478">
        <f t="shared" si="96"/>
        <v>0</v>
      </c>
    </row>
    <row r="387" spans="1:12" thickBot="1" x14ac:dyDescent="0.3">
      <c r="A387" s="290" t="s">
        <v>2</v>
      </c>
      <c r="B387" s="290" t="s">
        <v>301</v>
      </c>
      <c r="C387" s="290" t="s">
        <v>302</v>
      </c>
      <c r="D387" s="316" t="s">
        <v>3</v>
      </c>
      <c r="E387" s="290" t="s">
        <v>4</v>
      </c>
      <c r="F387" s="290" t="s">
        <v>5</v>
      </c>
      <c r="G387" s="290" t="s">
        <v>6</v>
      </c>
      <c r="H387" s="290" t="s">
        <v>7</v>
      </c>
      <c r="I387" s="314" t="s">
        <v>8</v>
      </c>
      <c r="L387" s="478"/>
    </row>
    <row r="388" spans="1:12" ht="15" x14ac:dyDescent="0.25">
      <c r="A388" s="296">
        <v>19</v>
      </c>
      <c r="B388" s="297" t="s">
        <v>9</v>
      </c>
      <c r="C388" s="297">
        <v>220000</v>
      </c>
      <c r="D388" s="488" t="s">
        <v>38</v>
      </c>
      <c r="E388" s="488"/>
      <c r="F388" s="488"/>
      <c r="G388" s="488"/>
      <c r="H388" s="488"/>
      <c r="I388" s="489"/>
      <c r="J388" s="478">
        <f t="shared" si="101"/>
        <v>0</v>
      </c>
      <c r="K388" s="478">
        <f t="shared" si="102"/>
        <v>0</v>
      </c>
      <c r="L388" s="478">
        <f t="shared" si="96"/>
        <v>0</v>
      </c>
    </row>
    <row r="389" spans="1:12" ht="25.5" x14ac:dyDescent="0.25">
      <c r="A389" s="320" t="s">
        <v>260</v>
      </c>
      <c r="B389" s="305" t="s">
        <v>9</v>
      </c>
      <c r="C389" s="305">
        <v>220100</v>
      </c>
      <c r="D389" s="306" t="s">
        <v>674</v>
      </c>
      <c r="E389" s="301">
        <f>'MEMÓRIA DE CÁLCULO'!D893</f>
        <v>149.63999999999999</v>
      </c>
      <c r="F389" s="305" t="s">
        <v>195</v>
      </c>
      <c r="G389" s="318"/>
      <c r="H389" s="318"/>
      <c r="I389" s="319">
        <f t="shared" ref="I389:I393" si="124">(G389+H389)*E389</f>
        <v>0</v>
      </c>
      <c r="J389" s="478">
        <f t="shared" si="101"/>
        <v>0</v>
      </c>
      <c r="K389" s="478">
        <f t="shared" si="102"/>
        <v>0</v>
      </c>
      <c r="L389" s="478">
        <f t="shared" si="96"/>
        <v>0</v>
      </c>
    </row>
    <row r="390" spans="1:12" ht="15" x14ac:dyDescent="0.25">
      <c r="A390" s="320" t="s">
        <v>261</v>
      </c>
      <c r="B390" s="305" t="s">
        <v>9</v>
      </c>
      <c r="C390" s="305">
        <v>220101</v>
      </c>
      <c r="D390" s="306" t="str">
        <f>'MEMÓRIA DE CÁLCULO'!B894</f>
        <v>LASTRO DE CONCRETO REGULARIZADO IMPERMEABILIZADO 1:3:6 ESP=5CM (BASE)</v>
      </c>
      <c r="E390" s="301">
        <f>'MEMÓRIA DE CÁLCULO'!D896</f>
        <v>941.3399999999998</v>
      </c>
      <c r="F390" s="305" t="s">
        <v>195</v>
      </c>
      <c r="G390" s="318"/>
      <c r="H390" s="318"/>
      <c r="I390" s="319">
        <f t="shared" si="124"/>
        <v>0</v>
      </c>
      <c r="J390" s="478">
        <f t="shared" si="101"/>
        <v>0</v>
      </c>
      <c r="K390" s="478">
        <f t="shared" si="102"/>
        <v>0</v>
      </c>
      <c r="L390" s="478">
        <f t="shared" si="96"/>
        <v>0</v>
      </c>
    </row>
    <row r="391" spans="1:12" ht="15" x14ac:dyDescent="0.25">
      <c r="A391" s="320" t="s">
        <v>262</v>
      </c>
      <c r="B391" s="305" t="s">
        <v>9</v>
      </c>
      <c r="C391" s="305">
        <v>220104</v>
      </c>
      <c r="D391" s="306" t="s">
        <v>818</v>
      </c>
      <c r="E391" s="301">
        <f>'MEMÓRIA DE CÁLCULO'!D900</f>
        <v>410.13</v>
      </c>
      <c r="F391" s="305" t="s">
        <v>195</v>
      </c>
      <c r="G391" s="318"/>
      <c r="H391" s="318"/>
      <c r="I391" s="319">
        <f t="shared" si="124"/>
        <v>0</v>
      </c>
      <c r="J391" s="478">
        <f t="shared" si="101"/>
        <v>0</v>
      </c>
      <c r="K391" s="478">
        <f t="shared" si="102"/>
        <v>0</v>
      </c>
      <c r="L391" s="478">
        <f t="shared" si="96"/>
        <v>0</v>
      </c>
    </row>
    <row r="392" spans="1:12" ht="15" x14ac:dyDescent="0.25">
      <c r="A392" s="320" t="s">
        <v>391</v>
      </c>
      <c r="B392" s="305" t="s">
        <v>9</v>
      </c>
      <c r="C392" s="305">
        <v>221101</v>
      </c>
      <c r="D392" s="306" t="s">
        <v>257</v>
      </c>
      <c r="E392" s="301">
        <f>'MEMÓRIA DE CÁLCULO'!D904</f>
        <v>906.57999999999981</v>
      </c>
      <c r="F392" s="305" t="s">
        <v>15</v>
      </c>
      <c r="G392" s="318"/>
      <c r="H392" s="318"/>
      <c r="I392" s="319">
        <f t="shared" si="124"/>
        <v>0</v>
      </c>
      <c r="J392" s="478">
        <f t="shared" si="101"/>
        <v>0</v>
      </c>
      <c r="K392" s="478">
        <f t="shared" si="102"/>
        <v>0</v>
      </c>
      <c r="L392" s="478">
        <f t="shared" si="96"/>
        <v>0</v>
      </c>
    </row>
    <row r="393" spans="1:12" thickBot="1" x14ac:dyDescent="0.3">
      <c r="A393" s="320" t="s">
        <v>392</v>
      </c>
      <c r="B393" s="322" t="s">
        <v>9</v>
      </c>
      <c r="C393" s="305">
        <v>221102</v>
      </c>
      <c r="D393" s="323" t="s">
        <v>258</v>
      </c>
      <c r="E393" s="324">
        <f>'MEMÓRIA DE CÁLCULO'!D907</f>
        <v>839.23</v>
      </c>
      <c r="F393" s="322" t="s">
        <v>25</v>
      </c>
      <c r="G393" s="325"/>
      <c r="H393" s="325"/>
      <c r="I393" s="319">
        <f t="shared" si="124"/>
        <v>0</v>
      </c>
      <c r="J393" s="478">
        <f t="shared" si="101"/>
        <v>0</v>
      </c>
      <c r="K393" s="478">
        <f t="shared" si="102"/>
        <v>0</v>
      </c>
      <c r="L393" s="478">
        <f t="shared" si="96"/>
        <v>0</v>
      </c>
    </row>
    <row r="394" spans="1:12" thickBot="1" x14ac:dyDescent="0.3">
      <c r="A394" s="492" t="s">
        <v>310</v>
      </c>
      <c r="B394" s="493"/>
      <c r="C394" s="493"/>
      <c r="D394" s="493"/>
      <c r="E394" s="493"/>
      <c r="F394" s="493"/>
      <c r="G394" s="493"/>
      <c r="H394" s="493"/>
      <c r="I394" s="315">
        <f>ROUND(SUM(I389:I393),2)</f>
        <v>0</v>
      </c>
      <c r="J394" s="478">
        <f t="shared" si="101"/>
        <v>0</v>
      </c>
      <c r="K394" s="478">
        <f t="shared" si="102"/>
        <v>0</v>
      </c>
      <c r="L394" s="478">
        <f t="shared" si="96"/>
        <v>0</v>
      </c>
    </row>
    <row r="395" spans="1:12" thickBot="1" x14ac:dyDescent="0.3">
      <c r="A395" s="290" t="s">
        <v>2</v>
      </c>
      <c r="B395" s="290" t="s">
        <v>301</v>
      </c>
      <c r="C395" s="290" t="s">
        <v>302</v>
      </c>
      <c r="D395" s="316" t="s">
        <v>3</v>
      </c>
      <c r="E395" s="290" t="s">
        <v>4</v>
      </c>
      <c r="F395" s="290" t="s">
        <v>5</v>
      </c>
      <c r="G395" s="290" t="s">
        <v>6</v>
      </c>
      <c r="H395" s="290" t="s">
        <v>7</v>
      </c>
      <c r="I395" s="314" t="s">
        <v>8</v>
      </c>
      <c r="L395" s="478"/>
    </row>
    <row r="396" spans="1:12" ht="15" x14ac:dyDescent="0.25">
      <c r="A396" s="296">
        <v>20</v>
      </c>
      <c r="B396" s="297" t="s">
        <v>9</v>
      </c>
      <c r="C396" s="297">
        <v>230000</v>
      </c>
      <c r="D396" s="488" t="s">
        <v>39</v>
      </c>
      <c r="E396" s="488"/>
      <c r="F396" s="488"/>
      <c r="G396" s="488"/>
      <c r="H396" s="488"/>
      <c r="I396" s="489"/>
      <c r="J396" s="478">
        <f t="shared" si="101"/>
        <v>0</v>
      </c>
      <c r="K396" s="478">
        <f t="shared" si="102"/>
        <v>0</v>
      </c>
      <c r="L396" s="478">
        <f t="shared" si="96"/>
        <v>0</v>
      </c>
    </row>
    <row r="397" spans="1:12" ht="15" x14ac:dyDescent="0.25">
      <c r="A397" s="320" t="s">
        <v>248</v>
      </c>
      <c r="B397" s="305" t="s">
        <v>9</v>
      </c>
      <c r="C397" s="305">
        <v>230102</v>
      </c>
      <c r="D397" s="306" t="str">
        <f>'MEMÓRIA DE CÁLCULO'!B910</f>
        <v>FECH.(ALAV.) LAFONTE 6236 I /8766- I18 IMAB OU EQUIV</v>
      </c>
      <c r="E397" s="301">
        <f>'MEMÓRIA DE CÁLCULO'!D912</f>
        <v>45</v>
      </c>
      <c r="F397" s="305" t="s">
        <v>278</v>
      </c>
      <c r="G397" s="318"/>
      <c r="H397" s="318"/>
      <c r="I397" s="319">
        <f>(G397+H397)*E397</f>
        <v>0</v>
      </c>
      <c r="J397" s="478">
        <f t="shared" si="101"/>
        <v>0</v>
      </c>
      <c r="K397" s="478">
        <f t="shared" si="102"/>
        <v>0</v>
      </c>
      <c r="L397" s="478">
        <f t="shared" si="96"/>
        <v>0</v>
      </c>
    </row>
    <row r="398" spans="1:12" ht="15" x14ac:dyDescent="0.25">
      <c r="A398" s="320" t="s">
        <v>249</v>
      </c>
      <c r="B398" s="305" t="s">
        <v>9</v>
      </c>
      <c r="C398" s="305">
        <v>230174</v>
      </c>
      <c r="D398" s="306" t="s">
        <v>245</v>
      </c>
      <c r="E398" s="301">
        <f>'MEMÓRIA DE CÁLCULO'!D919</f>
        <v>10</v>
      </c>
      <c r="F398" s="305" t="s">
        <v>278</v>
      </c>
      <c r="G398" s="318"/>
      <c r="H398" s="318"/>
      <c r="I398" s="319">
        <f t="shared" ref="I398:I404" si="125">(G398+H398)*E398</f>
        <v>0</v>
      </c>
      <c r="J398" s="478">
        <f t="shared" si="101"/>
        <v>0</v>
      </c>
      <c r="K398" s="478">
        <f t="shared" si="102"/>
        <v>0</v>
      </c>
      <c r="L398" s="478">
        <f t="shared" si="96"/>
        <v>0</v>
      </c>
    </row>
    <row r="399" spans="1:12" ht="15" x14ac:dyDescent="0.25">
      <c r="A399" s="320" t="s">
        <v>250</v>
      </c>
      <c r="B399" s="305" t="s">
        <v>9</v>
      </c>
      <c r="C399" s="305">
        <v>230176</v>
      </c>
      <c r="D399" s="306" t="s">
        <v>246</v>
      </c>
      <c r="E399" s="301">
        <f>'MEMÓRIA DE CÁLCULO'!D926</f>
        <v>11</v>
      </c>
      <c r="F399" s="305" t="s">
        <v>278</v>
      </c>
      <c r="G399" s="318"/>
      <c r="H399" s="318"/>
      <c r="I399" s="319">
        <f t="shared" si="125"/>
        <v>0</v>
      </c>
      <c r="J399" s="478">
        <f t="shared" si="101"/>
        <v>0</v>
      </c>
      <c r="K399" s="478">
        <f t="shared" si="102"/>
        <v>0</v>
      </c>
      <c r="L399" s="478">
        <f t="shared" si="96"/>
        <v>0</v>
      </c>
    </row>
    <row r="400" spans="1:12" ht="25.5" x14ac:dyDescent="0.25">
      <c r="A400" s="320" t="s">
        <v>251</v>
      </c>
      <c r="B400" s="305" t="s">
        <v>44</v>
      </c>
      <c r="C400" s="305">
        <v>100863</v>
      </c>
      <c r="D400" s="306" t="str">
        <f>'MEMÓRIA DE CÁLCULO'!B927</f>
        <v>BARRA DE APOIO EM "L", EM ACO INOX POLIDO 70 X 70 CM, FIXADA NA PAREDE - FORNECIMENTO E INSTALACAO. AF_01/2020</v>
      </c>
      <c r="E400" s="301">
        <f>'MEMÓRIA DE CÁLCULO'!D932</f>
        <v>4</v>
      </c>
      <c r="F400" s="305" t="s">
        <v>278</v>
      </c>
      <c r="G400" s="337"/>
      <c r="H400" s="337"/>
      <c r="I400" s="319">
        <f t="shared" ref="I400:I402" si="126">(G400+H400)*E400</f>
        <v>0</v>
      </c>
      <c r="J400" s="478">
        <f t="shared" ref="J400:J443" si="127">G400*E400</f>
        <v>0</v>
      </c>
      <c r="K400" s="478">
        <f>J400/2</f>
        <v>0</v>
      </c>
      <c r="L400" s="478">
        <f t="shared" ref="L400:L403" si="128">K400+J400</f>
        <v>0</v>
      </c>
    </row>
    <row r="401" spans="1:13" ht="25.5" x14ac:dyDescent="0.25">
      <c r="A401" s="320" t="s">
        <v>424</v>
      </c>
      <c r="B401" s="305" t="s">
        <v>44</v>
      </c>
      <c r="C401" s="305">
        <v>100865</v>
      </c>
      <c r="D401" s="306" t="str">
        <f>'MEMÓRIA DE CÁLCULO'!B933</f>
        <v>BARRA DE APOIO LATERAL ARTICULADA, COM TRAVA, EM ACO INOX POLIDO, FIXA DA NA PAREDE - FORNECIMENTO E INSTALAÇÃO. AF_01/2020</v>
      </c>
      <c r="E401" s="301">
        <f>'MEMÓRIA DE CÁLCULO'!D937</f>
        <v>3</v>
      </c>
      <c r="F401" s="305" t="s">
        <v>278</v>
      </c>
      <c r="G401" s="337"/>
      <c r="H401" s="337"/>
      <c r="I401" s="319">
        <f t="shared" si="126"/>
        <v>0</v>
      </c>
      <c r="J401" s="478">
        <f t="shared" si="127"/>
        <v>0</v>
      </c>
      <c r="K401" s="478">
        <f t="shared" ref="K401:K405" si="129">J401/2</f>
        <v>0</v>
      </c>
      <c r="L401" s="478">
        <f t="shared" si="128"/>
        <v>0</v>
      </c>
    </row>
    <row r="402" spans="1:13" ht="25.5" x14ac:dyDescent="0.25">
      <c r="A402" s="320" t="s">
        <v>679</v>
      </c>
      <c r="B402" s="305" t="s">
        <v>44</v>
      </c>
      <c r="C402" s="305">
        <v>100875</v>
      </c>
      <c r="D402" s="306" t="str">
        <f>'MEMÓRIA DE CÁLCULO'!B938</f>
        <v>BANCO ARTICULADO, EM ACO INOX, PARA PCD, FIXADO NA PAREDE - FORNECIMENTO E INSTALAÇÃO. AF_01/2020</v>
      </c>
      <c r="E402" s="301">
        <f>'MEMÓRIA DE CÁLCULO'!D943</f>
        <v>4</v>
      </c>
      <c r="F402" s="305" t="s">
        <v>278</v>
      </c>
      <c r="G402" s="337"/>
      <c r="H402" s="337"/>
      <c r="I402" s="319">
        <f t="shared" si="126"/>
        <v>0</v>
      </c>
      <c r="J402" s="478">
        <f t="shared" si="127"/>
        <v>0</v>
      </c>
      <c r="K402" s="478">
        <f t="shared" si="129"/>
        <v>0</v>
      </c>
      <c r="L402" s="478">
        <f t="shared" si="128"/>
        <v>0</v>
      </c>
    </row>
    <row r="403" spans="1:13" ht="15" x14ac:dyDescent="0.25">
      <c r="A403" s="377" t="s">
        <v>251</v>
      </c>
      <c r="B403" s="322" t="s">
        <v>9</v>
      </c>
      <c r="C403" s="322">
        <v>230201</v>
      </c>
      <c r="D403" s="323" t="s">
        <v>247</v>
      </c>
      <c r="E403" s="324">
        <f>'MEMÓRIA DE CÁLCULO'!D946</f>
        <v>135</v>
      </c>
      <c r="F403" s="305" t="s">
        <v>278</v>
      </c>
      <c r="G403" s="325"/>
      <c r="H403" s="325"/>
      <c r="I403" s="319">
        <f t="shared" si="125"/>
        <v>0</v>
      </c>
      <c r="J403" s="478">
        <f t="shared" si="127"/>
        <v>0</v>
      </c>
      <c r="K403" s="478">
        <f t="shared" si="129"/>
        <v>0</v>
      </c>
      <c r="L403" s="478">
        <f t="shared" si="128"/>
        <v>0</v>
      </c>
    </row>
    <row r="404" spans="1:13" ht="15" x14ac:dyDescent="0.25">
      <c r="A404" s="377" t="s">
        <v>424</v>
      </c>
      <c r="B404" s="322" t="s">
        <v>9</v>
      </c>
      <c r="C404" s="322">
        <v>230804</v>
      </c>
      <c r="D404" s="323" t="str">
        <f>'MEMÓRIA DE CÁLCULO'!B947</f>
        <v>CADEADO 50 MM</v>
      </c>
      <c r="E404" s="324">
        <f>'MEMÓRIA DE CÁLCULO'!D949</f>
        <v>7</v>
      </c>
      <c r="F404" s="333" t="s">
        <v>278</v>
      </c>
      <c r="G404" s="325"/>
      <c r="H404" s="325"/>
      <c r="I404" s="319">
        <f t="shared" si="125"/>
        <v>0</v>
      </c>
      <c r="J404" s="478">
        <f t="shared" si="127"/>
        <v>0</v>
      </c>
      <c r="K404" s="478">
        <f t="shared" si="129"/>
        <v>0</v>
      </c>
      <c r="L404" s="478">
        <f t="shared" si="96"/>
        <v>0</v>
      </c>
    </row>
    <row r="405" spans="1:13" thickBot="1" x14ac:dyDescent="0.3">
      <c r="A405" s="377" t="s">
        <v>679</v>
      </c>
      <c r="B405" s="322" t="s">
        <v>44</v>
      </c>
      <c r="C405" s="322">
        <v>100710</v>
      </c>
      <c r="D405" s="323" t="s">
        <v>680</v>
      </c>
      <c r="E405" s="324">
        <f>'MEMÓRIA DE CÁLCULO'!D969</f>
        <v>0</v>
      </c>
      <c r="F405" s="333" t="s">
        <v>278</v>
      </c>
      <c r="G405" s="514"/>
      <c r="H405" s="515"/>
      <c r="I405" s="319">
        <f t="shared" ref="I405" si="130">(G405+H405)*E405</f>
        <v>0</v>
      </c>
      <c r="J405" s="478">
        <f t="shared" si="127"/>
        <v>0</v>
      </c>
      <c r="K405" s="478">
        <f t="shared" si="129"/>
        <v>0</v>
      </c>
      <c r="L405" s="478">
        <f t="shared" ref="L405" si="131">K405+J405</f>
        <v>0</v>
      </c>
    </row>
    <row r="406" spans="1:13" thickBot="1" x14ac:dyDescent="0.3">
      <c r="A406" s="492" t="s">
        <v>310</v>
      </c>
      <c r="B406" s="493"/>
      <c r="C406" s="493"/>
      <c r="D406" s="493"/>
      <c r="E406" s="493"/>
      <c r="F406" s="493"/>
      <c r="G406" s="493"/>
      <c r="H406" s="493"/>
      <c r="I406" s="315">
        <f>ROUND(SUM(I397:I405),2)</f>
        <v>0</v>
      </c>
      <c r="J406" s="478">
        <f t="shared" si="127"/>
        <v>0</v>
      </c>
      <c r="K406" s="478">
        <f t="shared" ref="K406:K443" si="132">H406*E406</f>
        <v>0</v>
      </c>
      <c r="L406" s="478">
        <f t="shared" si="96"/>
        <v>0</v>
      </c>
    </row>
    <row r="407" spans="1:13" thickBot="1" x14ac:dyDescent="0.3">
      <c r="A407" s="290" t="s">
        <v>2</v>
      </c>
      <c r="B407" s="290" t="s">
        <v>301</v>
      </c>
      <c r="C407" s="290" t="s">
        <v>302</v>
      </c>
      <c r="D407" s="316" t="s">
        <v>3</v>
      </c>
      <c r="E407" s="290" t="s">
        <v>4</v>
      </c>
      <c r="F407" s="290" t="s">
        <v>5</v>
      </c>
      <c r="G407" s="290" t="s">
        <v>6</v>
      </c>
      <c r="H407" s="290" t="s">
        <v>7</v>
      </c>
      <c r="I407" s="314" t="s">
        <v>8</v>
      </c>
      <c r="L407" s="478"/>
    </row>
    <row r="408" spans="1:13" ht="15" x14ac:dyDescent="0.25">
      <c r="A408" s="296">
        <v>21</v>
      </c>
      <c r="B408" s="297" t="s">
        <v>9</v>
      </c>
      <c r="C408" s="297">
        <v>240000</v>
      </c>
      <c r="D408" s="488" t="s">
        <v>990</v>
      </c>
      <c r="E408" s="488"/>
      <c r="F408" s="488"/>
      <c r="G408" s="488"/>
      <c r="H408" s="488"/>
      <c r="I408" s="489"/>
      <c r="J408" s="478">
        <f t="shared" si="127"/>
        <v>0</v>
      </c>
      <c r="K408" s="478">
        <f t="shared" si="132"/>
        <v>0</v>
      </c>
      <c r="L408" s="478">
        <f t="shared" ref="L408:L410" si="133">K408+J408</f>
        <v>0</v>
      </c>
    </row>
    <row r="409" spans="1:13" ht="15.75" customHeight="1" thickBot="1" x14ac:dyDescent="0.3">
      <c r="A409" s="320" t="s">
        <v>253</v>
      </c>
      <c r="B409" s="305" t="s">
        <v>9</v>
      </c>
      <c r="C409" s="305">
        <v>240208</v>
      </c>
      <c r="D409" s="306" t="s">
        <v>991</v>
      </c>
      <c r="E409" s="301">
        <f>'MEMÓRIA DE CÁLCULO'!D968</f>
        <v>161</v>
      </c>
      <c r="F409" s="305" t="s">
        <v>108</v>
      </c>
      <c r="G409" s="318"/>
      <c r="H409" s="318"/>
      <c r="I409" s="319">
        <f>(G409+H409)*E409</f>
        <v>0</v>
      </c>
      <c r="J409" s="478">
        <f t="shared" si="127"/>
        <v>0</v>
      </c>
      <c r="K409" s="478">
        <f t="shared" si="132"/>
        <v>0</v>
      </c>
      <c r="L409" s="478">
        <f t="shared" si="133"/>
        <v>0</v>
      </c>
    </row>
    <row r="410" spans="1:13" thickBot="1" x14ac:dyDescent="0.3">
      <c r="A410" s="492" t="s">
        <v>310</v>
      </c>
      <c r="B410" s="493"/>
      <c r="C410" s="493"/>
      <c r="D410" s="493"/>
      <c r="E410" s="493"/>
      <c r="F410" s="493"/>
      <c r="G410" s="493"/>
      <c r="H410" s="493"/>
      <c r="I410" s="315">
        <f>ROUND(SUM(I409),2)</f>
        <v>0</v>
      </c>
      <c r="J410" s="478">
        <f t="shared" si="127"/>
        <v>0</v>
      </c>
      <c r="K410" s="478">
        <f t="shared" si="132"/>
        <v>0</v>
      </c>
      <c r="L410" s="478">
        <f t="shared" si="133"/>
        <v>0</v>
      </c>
    </row>
    <row r="411" spans="1:13" thickBot="1" x14ac:dyDescent="0.3">
      <c r="A411" s="290" t="s">
        <v>2</v>
      </c>
      <c r="B411" s="290" t="s">
        <v>301</v>
      </c>
      <c r="C411" s="290" t="s">
        <v>302</v>
      </c>
      <c r="D411" s="316" t="s">
        <v>3</v>
      </c>
      <c r="E411" s="290" t="s">
        <v>4</v>
      </c>
      <c r="F411" s="290" t="s">
        <v>5</v>
      </c>
      <c r="G411" s="290" t="s">
        <v>6</v>
      </c>
      <c r="H411" s="290" t="s">
        <v>7</v>
      </c>
      <c r="I411" s="314" t="s">
        <v>8</v>
      </c>
      <c r="L411" s="478"/>
    </row>
    <row r="412" spans="1:13" ht="15" x14ac:dyDescent="0.25">
      <c r="A412" s="296">
        <v>22</v>
      </c>
      <c r="B412" s="297" t="s">
        <v>9</v>
      </c>
      <c r="C412" s="297">
        <v>250000</v>
      </c>
      <c r="D412" s="488" t="s">
        <v>40</v>
      </c>
      <c r="E412" s="488"/>
      <c r="F412" s="488"/>
      <c r="G412" s="488"/>
      <c r="H412" s="488"/>
      <c r="I412" s="489"/>
      <c r="J412" s="478">
        <f t="shared" si="127"/>
        <v>0</v>
      </c>
      <c r="K412" s="478">
        <f t="shared" si="132"/>
        <v>0</v>
      </c>
      <c r="L412" s="478">
        <f t="shared" si="96"/>
        <v>0</v>
      </c>
    </row>
    <row r="413" spans="1:13" ht="15.75" customHeight="1" x14ac:dyDescent="0.25">
      <c r="A413" s="320" t="s">
        <v>254</v>
      </c>
      <c r="B413" s="305" t="s">
        <v>9</v>
      </c>
      <c r="C413" s="305">
        <v>250101</v>
      </c>
      <c r="D413" s="306" t="s">
        <v>988</v>
      </c>
      <c r="E413" s="301">
        <f>'MEMÓRIA DE CÁLCULO'!D974</f>
        <v>792</v>
      </c>
      <c r="F413" s="305" t="s">
        <v>252</v>
      </c>
      <c r="G413" s="318"/>
      <c r="H413" s="318"/>
      <c r="I413" s="319">
        <f>(G413+H413)*E413</f>
        <v>0</v>
      </c>
      <c r="J413" s="478">
        <f t="shared" si="127"/>
        <v>0</v>
      </c>
      <c r="K413" s="478">
        <f t="shared" si="132"/>
        <v>0</v>
      </c>
      <c r="L413" s="478">
        <f t="shared" ref="L413" si="134">K413+J413</f>
        <v>0</v>
      </c>
      <c r="M413" s="486" t="e">
        <f>I416/VALOR_TOTAL</f>
        <v>#DIV/0!</v>
      </c>
    </row>
    <row r="414" spans="1:13" ht="15.75" customHeight="1" x14ac:dyDescent="0.25">
      <c r="A414" s="320" t="s">
        <v>255</v>
      </c>
      <c r="B414" s="305" t="s">
        <v>9</v>
      </c>
      <c r="C414" s="305">
        <v>250103</v>
      </c>
      <c r="D414" s="306" t="s">
        <v>438</v>
      </c>
      <c r="E414" s="301">
        <f>'MEMÓRIA DE CÁLCULO'!D978</f>
        <v>1848</v>
      </c>
      <c r="F414" s="305" t="s">
        <v>252</v>
      </c>
      <c r="G414" s="318"/>
      <c r="H414" s="318"/>
      <c r="I414" s="319">
        <f>(G414+H414)*E414</f>
        <v>0</v>
      </c>
      <c r="J414" s="478">
        <f t="shared" si="127"/>
        <v>0</v>
      </c>
      <c r="K414" s="478">
        <f t="shared" si="132"/>
        <v>0</v>
      </c>
      <c r="L414" s="478">
        <f t="shared" si="96"/>
        <v>0</v>
      </c>
    </row>
    <row r="415" spans="1:13" ht="15.75" customHeight="1" thickBot="1" x14ac:dyDescent="0.3">
      <c r="A415" s="320" t="s">
        <v>256</v>
      </c>
      <c r="B415" s="305" t="s">
        <v>9</v>
      </c>
      <c r="C415" s="305">
        <v>250111</v>
      </c>
      <c r="D415" s="381" t="s">
        <v>989</v>
      </c>
      <c r="E415" s="301">
        <f>'MEMÓRIA DE CÁLCULO'!D982</f>
        <v>8640</v>
      </c>
      <c r="F415" s="305" t="s">
        <v>252</v>
      </c>
      <c r="G415" s="318"/>
      <c r="H415" s="318"/>
      <c r="I415" s="319">
        <f>(G415+H415)*E415</f>
        <v>0</v>
      </c>
      <c r="J415" s="478">
        <f t="shared" si="127"/>
        <v>0</v>
      </c>
      <c r="K415" s="478">
        <f t="shared" si="132"/>
        <v>0</v>
      </c>
      <c r="L415" s="478">
        <f t="shared" ref="L415" si="135">K415+J415</f>
        <v>0</v>
      </c>
    </row>
    <row r="416" spans="1:13" thickBot="1" x14ac:dyDescent="0.3">
      <c r="A416" s="492" t="s">
        <v>310</v>
      </c>
      <c r="B416" s="493"/>
      <c r="C416" s="493"/>
      <c r="D416" s="493"/>
      <c r="E416" s="493"/>
      <c r="F416" s="493"/>
      <c r="G416" s="493"/>
      <c r="H416" s="493"/>
      <c r="I416" s="315">
        <f>ROUND(SUM(I413:I415),2)</f>
        <v>0</v>
      </c>
      <c r="J416" s="478">
        <f t="shared" si="127"/>
        <v>0</v>
      </c>
      <c r="K416" s="478">
        <f t="shared" si="132"/>
        <v>0</v>
      </c>
      <c r="L416" s="478">
        <f t="shared" si="96"/>
        <v>0</v>
      </c>
    </row>
    <row r="417" spans="1:12" thickBot="1" x14ac:dyDescent="0.3">
      <c r="A417" s="290" t="s">
        <v>2</v>
      </c>
      <c r="B417" s="290" t="s">
        <v>301</v>
      </c>
      <c r="C417" s="290" t="s">
        <v>302</v>
      </c>
      <c r="D417" s="316" t="s">
        <v>3</v>
      </c>
      <c r="E417" s="290" t="s">
        <v>4</v>
      </c>
      <c r="F417" s="290" t="s">
        <v>5</v>
      </c>
      <c r="G417" s="290" t="s">
        <v>6</v>
      </c>
      <c r="H417" s="290" t="s">
        <v>7</v>
      </c>
      <c r="I417" s="314" t="s">
        <v>8</v>
      </c>
      <c r="L417" s="478"/>
    </row>
    <row r="418" spans="1:12" ht="15" x14ac:dyDescent="0.25">
      <c r="A418" s="296">
        <v>23</v>
      </c>
      <c r="B418" s="297" t="s">
        <v>9</v>
      </c>
      <c r="C418" s="297">
        <v>260000</v>
      </c>
      <c r="D418" s="488" t="s">
        <v>41</v>
      </c>
      <c r="E418" s="488"/>
      <c r="F418" s="488"/>
      <c r="G418" s="488"/>
      <c r="H418" s="488"/>
      <c r="I418" s="489"/>
      <c r="J418" s="478">
        <f t="shared" si="127"/>
        <v>0</v>
      </c>
      <c r="K418" s="478">
        <f t="shared" si="132"/>
        <v>0</v>
      </c>
      <c r="L418" s="478">
        <f t="shared" ref="L418:L437" si="136">K418+J418</f>
        <v>0</v>
      </c>
    </row>
    <row r="419" spans="1:12" ht="15" x14ac:dyDescent="0.25">
      <c r="A419" s="320" t="s">
        <v>264</v>
      </c>
      <c r="B419" s="305" t="s">
        <v>9</v>
      </c>
      <c r="C419" s="305">
        <v>260601</v>
      </c>
      <c r="D419" s="306" t="s">
        <v>300</v>
      </c>
      <c r="E419" s="301">
        <f>'MEMÓRIA DE CÁLCULO'!D987</f>
        <v>1250.4299999999998</v>
      </c>
      <c r="F419" s="305" t="s">
        <v>15</v>
      </c>
      <c r="G419" s="318"/>
      <c r="H419" s="318"/>
      <c r="I419" s="319">
        <f>(G419+H419)*E419</f>
        <v>0</v>
      </c>
      <c r="J419" s="478">
        <f t="shared" si="127"/>
        <v>0</v>
      </c>
      <c r="K419" s="478">
        <f t="shared" si="132"/>
        <v>0</v>
      </c>
      <c r="L419" s="478">
        <f t="shared" si="136"/>
        <v>0</v>
      </c>
    </row>
    <row r="420" spans="1:12" ht="15" x14ac:dyDescent="0.25">
      <c r="A420" s="320" t="s">
        <v>265</v>
      </c>
      <c r="B420" s="305" t="s">
        <v>9</v>
      </c>
      <c r="C420" s="305">
        <v>261307</v>
      </c>
      <c r="D420" s="306" t="s">
        <v>1010</v>
      </c>
      <c r="E420" s="301">
        <f>'MEMÓRIA DE CÁLCULO'!D992</f>
        <v>3093.630000000001</v>
      </c>
      <c r="F420" s="305" t="s">
        <v>15</v>
      </c>
      <c r="G420" s="318"/>
      <c r="H420" s="318"/>
      <c r="I420" s="319">
        <f t="shared" ref="I420:I426" si="137">(G420+H420)*E420</f>
        <v>0</v>
      </c>
      <c r="J420" s="478">
        <f t="shared" si="127"/>
        <v>0</v>
      </c>
      <c r="K420" s="478">
        <f t="shared" si="132"/>
        <v>0</v>
      </c>
      <c r="L420" s="478">
        <f t="shared" si="136"/>
        <v>0</v>
      </c>
    </row>
    <row r="421" spans="1:12" ht="15" x14ac:dyDescent="0.25">
      <c r="A421" s="320" t="s">
        <v>266</v>
      </c>
      <c r="B421" s="305" t="s">
        <v>9</v>
      </c>
      <c r="C421" s="305">
        <v>261000</v>
      </c>
      <c r="D421" s="306" t="s">
        <v>1288</v>
      </c>
      <c r="E421" s="301">
        <f>'MEMÓRIA DE CÁLCULO'!D995</f>
        <v>890.55000000000007</v>
      </c>
      <c r="F421" s="305" t="s">
        <v>63</v>
      </c>
      <c r="G421" s="318"/>
      <c r="H421" s="318"/>
      <c r="I421" s="319">
        <f t="shared" ref="I421" si="138">(G421+H421)*E421</f>
        <v>0</v>
      </c>
      <c r="J421" s="478">
        <f t="shared" si="127"/>
        <v>0</v>
      </c>
      <c r="K421" s="478">
        <f t="shared" si="132"/>
        <v>0</v>
      </c>
      <c r="L421" s="478"/>
    </row>
    <row r="422" spans="1:12" ht="15" x14ac:dyDescent="0.25">
      <c r="A422" s="320" t="s">
        <v>266</v>
      </c>
      <c r="B422" s="305" t="s">
        <v>9</v>
      </c>
      <c r="C422" s="305">
        <v>261005</v>
      </c>
      <c r="D422" s="306" t="s">
        <v>1016</v>
      </c>
      <c r="E422" s="301">
        <f>'MEMÓRIA DE CÁLCULO'!D998</f>
        <v>3093.630000000001</v>
      </c>
      <c r="F422" s="305" t="s">
        <v>195</v>
      </c>
      <c r="G422" s="318"/>
      <c r="H422" s="318"/>
      <c r="I422" s="319">
        <f t="shared" ref="I422" si="139">(G422+H422)*E422</f>
        <v>0</v>
      </c>
      <c r="J422" s="478">
        <f t="shared" si="127"/>
        <v>0</v>
      </c>
      <c r="K422" s="478">
        <f t="shared" si="132"/>
        <v>0</v>
      </c>
      <c r="L422" s="478">
        <f t="shared" ref="L422" si="140">K422+J422</f>
        <v>0</v>
      </c>
    </row>
    <row r="423" spans="1:12" ht="15" x14ac:dyDescent="0.25">
      <c r="A423" s="320" t="s">
        <v>267</v>
      </c>
      <c r="B423" s="305" t="s">
        <v>9</v>
      </c>
      <c r="C423" s="305">
        <v>261300</v>
      </c>
      <c r="D423" s="306" t="s">
        <v>439</v>
      </c>
      <c r="E423" s="301">
        <f>'MEMÓRIA DE CÁLCULO'!D1001</f>
        <v>3093.630000000001</v>
      </c>
      <c r="F423" s="305" t="s">
        <v>195</v>
      </c>
      <c r="G423" s="318"/>
      <c r="H423" s="318"/>
      <c r="I423" s="319">
        <f t="shared" si="137"/>
        <v>0</v>
      </c>
      <c r="J423" s="478">
        <f t="shared" si="127"/>
        <v>0</v>
      </c>
      <c r="K423" s="478">
        <f t="shared" si="132"/>
        <v>0</v>
      </c>
      <c r="L423" s="478">
        <f t="shared" si="136"/>
        <v>0</v>
      </c>
    </row>
    <row r="424" spans="1:12" ht="15" x14ac:dyDescent="0.25">
      <c r="A424" s="320" t="s">
        <v>268</v>
      </c>
      <c r="B424" s="305" t="s">
        <v>9</v>
      </c>
      <c r="C424" s="305">
        <v>261501</v>
      </c>
      <c r="D424" s="306" t="s">
        <v>402</v>
      </c>
      <c r="E424" s="301">
        <f>'MEMÓRIA DE CÁLCULO'!D1011</f>
        <v>354.06000000000006</v>
      </c>
      <c r="F424" s="305" t="s">
        <v>195</v>
      </c>
      <c r="G424" s="318"/>
      <c r="H424" s="318"/>
      <c r="I424" s="319">
        <f t="shared" si="137"/>
        <v>0</v>
      </c>
      <c r="J424" s="478">
        <f t="shared" si="127"/>
        <v>0</v>
      </c>
      <c r="K424" s="478">
        <f t="shared" si="132"/>
        <v>0</v>
      </c>
      <c r="L424" s="478">
        <f t="shared" si="136"/>
        <v>0</v>
      </c>
    </row>
    <row r="425" spans="1:12" ht="15.75" customHeight="1" x14ac:dyDescent="0.25">
      <c r="A425" s="320" t="s">
        <v>269</v>
      </c>
      <c r="B425" s="305" t="s">
        <v>9</v>
      </c>
      <c r="C425" s="305">
        <v>261560</v>
      </c>
      <c r="D425" s="306" t="s">
        <v>1129</v>
      </c>
      <c r="E425" s="301">
        <f>'MEMÓRIA DE CÁLCULO'!D1014</f>
        <v>354.06000000000006</v>
      </c>
      <c r="F425" s="305" t="s">
        <v>195</v>
      </c>
      <c r="G425" s="318"/>
      <c r="H425" s="318"/>
      <c r="I425" s="319">
        <f t="shared" ref="I425" si="141">(G425+H425)*E425</f>
        <v>0</v>
      </c>
      <c r="J425" s="478">
        <f t="shared" si="127"/>
        <v>0</v>
      </c>
      <c r="K425" s="478">
        <f t="shared" si="132"/>
        <v>0</v>
      </c>
      <c r="L425" s="478">
        <f t="shared" ref="L425" si="142">K425+J425</f>
        <v>0</v>
      </c>
    </row>
    <row r="426" spans="1:12" thickBot="1" x14ac:dyDescent="0.3">
      <c r="A426" s="320" t="s">
        <v>270</v>
      </c>
      <c r="B426" s="305" t="s">
        <v>9</v>
      </c>
      <c r="C426" s="305">
        <v>261602</v>
      </c>
      <c r="D426" s="306" t="s">
        <v>403</v>
      </c>
      <c r="E426" s="301">
        <f>'MEMÓRIA DE CÁLCULO'!D1023</f>
        <v>473.37000000000006</v>
      </c>
      <c r="F426" s="305" t="s">
        <v>195</v>
      </c>
      <c r="G426" s="318"/>
      <c r="H426" s="318"/>
      <c r="I426" s="319">
        <f t="shared" si="137"/>
        <v>0</v>
      </c>
      <c r="J426" s="478">
        <f t="shared" si="127"/>
        <v>0</v>
      </c>
      <c r="K426" s="478">
        <f t="shared" si="132"/>
        <v>0</v>
      </c>
      <c r="L426" s="478">
        <f t="shared" si="136"/>
        <v>0</v>
      </c>
    </row>
    <row r="427" spans="1:12" thickBot="1" x14ac:dyDescent="0.3">
      <c r="A427" s="492" t="s">
        <v>310</v>
      </c>
      <c r="B427" s="493"/>
      <c r="C427" s="493"/>
      <c r="D427" s="493"/>
      <c r="E427" s="493"/>
      <c r="F427" s="493"/>
      <c r="G427" s="493"/>
      <c r="H427" s="493"/>
      <c r="I427" s="315">
        <f>ROUND(SUM(I419:I426),2)</f>
        <v>0</v>
      </c>
      <c r="J427" s="478">
        <f t="shared" si="127"/>
        <v>0</v>
      </c>
      <c r="K427" s="478">
        <f t="shared" si="132"/>
        <v>0</v>
      </c>
      <c r="L427" s="478">
        <f t="shared" si="136"/>
        <v>0</v>
      </c>
    </row>
    <row r="428" spans="1:12" thickBot="1" x14ac:dyDescent="0.3">
      <c r="A428" s="290" t="s">
        <v>2</v>
      </c>
      <c r="B428" s="290" t="s">
        <v>301</v>
      </c>
      <c r="C428" s="290" t="s">
        <v>302</v>
      </c>
      <c r="D428" s="316" t="s">
        <v>3</v>
      </c>
      <c r="E428" s="290" t="s">
        <v>4</v>
      </c>
      <c r="F428" s="290" t="s">
        <v>5</v>
      </c>
      <c r="G428" s="290" t="s">
        <v>6</v>
      </c>
      <c r="H428" s="290" t="s">
        <v>7</v>
      </c>
      <c r="I428" s="314" t="s">
        <v>8</v>
      </c>
      <c r="L428" s="478"/>
    </row>
    <row r="429" spans="1:12" ht="15" x14ac:dyDescent="0.25">
      <c r="A429" s="296">
        <v>24</v>
      </c>
      <c r="B429" s="297" t="s">
        <v>9</v>
      </c>
      <c r="C429" s="297">
        <v>270000</v>
      </c>
      <c r="D429" s="488" t="s">
        <v>42</v>
      </c>
      <c r="E429" s="488"/>
      <c r="F429" s="488"/>
      <c r="G429" s="488"/>
      <c r="H429" s="488"/>
      <c r="I429" s="489"/>
      <c r="J429" s="478">
        <f t="shared" si="127"/>
        <v>0</v>
      </c>
      <c r="K429" s="478">
        <f t="shared" si="132"/>
        <v>0</v>
      </c>
      <c r="L429" s="478">
        <f t="shared" si="136"/>
        <v>0</v>
      </c>
    </row>
    <row r="430" spans="1:12" ht="25.5" x14ac:dyDescent="0.25">
      <c r="A430" s="320" t="s">
        <v>824</v>
      </c>
      <c r="B430" s="305" t="s">
        <v>9</v>
      </c>
      <c r="C430" s="305">
        <v>270210</v>
      </c>
      <c r="D430" s="306" t="s">
        <v>801</v>
      </c>
      <c r="E430" s="301">
        <f>'MEMÓRIA DE CÁLCULO'!D1028</f>
        <v>1306.29</v>
      </c>
      <c r="F430" s="305" t="s">
        <v>195</v>
      </c>
      <c r="G430" s="318"/>
      <c r="H430" s="318"/>
      <c r="I430" s="319">
        <f>(G430+H430)*E430</f>
        <v>0</v>
      </c>
      <c r="J430" s="478">
        <f t="shared" si="127"/>
        <v>0</v>
      </c>
      <c r="K430" s="478">
        <f t="shared" si="132"/>
        <v>0</v>
      </c>
      <c r="L430" s="478">
        <f t="shared" ref="L430" si="143">K430+J430</f>
        <v>0</v>
      </c>
    </row>
    <row r="431" spans="1:12" ht="30.75" customHeight="1" x14ac:dyDescent="0.25">
      <c r="A431" s="326" t="s">
        <v>825</v>
      </c>
      <c r="B431" s="327" t="s">
        <v>9</v>
      </c>
      <c r="C431" s="327">
        <v>270312</v>
      </c>
      <c r="D431" s="328" t="str">
        <f>'MEMÓRIA DE CÁLCULO'!B1029</f>
        <v>MURO DE ALVENARIA TIJOLO FURADO 1/2 VEZ ( H=2,50M) COM FUNDAÇÃO - SEM
REVESTIMENTOS (PADRÃO GOINFRA)</v>
      </c>
      <c r="E431" s="329">
        <f>'MEMÓRIA DE CÁLCULO'!D1032</f>
        <v>445.27500000000003</v>
      </c>
      <c r="F431" s="327" t="s">
        <v>15</v>
      </c>
      <c r="G431" s="330"/>
      <c r="H431" s="330"/>
      <c r="I431" s="331">
        <f>(G431+H431)*E431</f>
        <v>0</v>
      </c>
      <c r="J431" s="478">
        <f t="shared" si="127"/>
        <v>0</v>
      </c>
      <c r="K431" s="478">
        <f t="shared" si="132"/>
        <v>0</v>
      </c>
      <c r="L431" s="478">
        <f t="shared" si="136"/>
        <v>0</v>
      </c>
    </row>
    <row r="432" spans="1:12" ht="15" x14ac:dyDescent="0.25">
      <c r="A432" s="320" t="s">
        <v>992</v>
      </c>
      <c r="B432" s="305" t="s">
        <v>9</v>
      </c>
      <c r="C432" s="305">
        <v>270232</v>
      </c>
      <c r="D432" s="306" t="str">
        <f>'MEMÓRIA DE CÁLCULO'!B1033</f>
        <v>PAVIMENTO INTERTRAVADO ESPESSURA DE 6CM E FCK = 35 MPA</v>
      </c>
      <c r="E432" s="301">
        <f>'MEMÓRIA DE CÁLCULO'!D1036</f>
        <v>663.32999999999993</v>
      </c>
      <c r="F432" s="305" t="s">
        <v>15</v>
      </c>
      <c r="G432" s="318"/>
      <c r="H432" s="318"/>
      <c r="I432" s="319">
        <f t="shared" ref="I432:I440" si="144">(G432+H432)*E432</f>
        <v>0</v>
      </c>
      <c r="J432" s="478">
        <f t="shared" si="127"/>
        <v>0</v>
      </c>
      <c r="K432" s="478">
        <f t="shared" si="132"/>
        <v>0</v>
      </c>
      <c r="L432" s="478">
        <f t="shared" si="136"/>
        <v>0</v>
      </c>
    </row>
    <row r="433" spans="1:13" ht="15" x14ac:dyDescent="0.25">
      <c r="A433" s="326" t="s">
        <v>993</v>
      </c>
      <c r="B433" s="305" t="s">
        <v>9</v>
      </c>
      <c r="C433" s="305">
        <v>270501</v>
      </c>
      <c r="D433" s="306" t="str">
        <f>'MEMÓRIA DE CÁLCULO'!B1037</f>
        <v>LIMPEZA FINAL DE OBRA - (OBRAS CIVIS)</v>
      </c>
      <c r="E433" s="301">
        <f>'MEMÓRIA DE CÁLCULO'!D1039</f>
        <v>1043.0999999999999</v>
      </c>
      <c r="F433" s="305" t="s">
        <v>15</v>
      </c>
      <c r="G433" s="318"/>
      <c r="H433" s="318"/>
      <c r="I433" s="319">
        <f t="shared" si="144"/>
        <v>0</v>
      </c>
      <c r="J433" s="478">
        <f t="shared" si="127"/>
        <v>0</v>
      </c>
      <c r="K433" s="478">
        <f t="shared" si="132"/>
        <v>0</v>
      </c>
      <c r="L433" s="478">
        <f t="shared" si="136"/>
        <v>0</v>
      </c>
    </row>
    <row r="434" spans="1:13" ht="15.75" customHeight="1" x14ac:dyDescent="0.25">
      <c r="A434" s="320" t="s">
        <v>994</v>
      </c>
      <c r="B434" s="305" t="s">
        <v>9</v>
      </c>
      <c r="C434" s="305">
        <v>270810</v>
      </c>
      <c r="D434" s="306" t="str">
        <f>'MEMÓRIA DE CÁLCULO'!B1040</f>
        <v>PLACA DE INAUGURACAO ACO ESCOVADO 80 X 60 CM</v>
      </c>
      <c r="E434" s="301">
        <f>'MEMÓRIA DE CÁLCULO'!D1042</f>
        <v>0.48</v>
      </c>
      <c r="F434" s="305" t="s">
        <v>195</v>
      </c>
      <c r="G434" s="318"/>
      <c r="H434" s="318"/>
      <c r="I434" s="319">
        <f t="shared" si="144"/>
        <v>0</v>
      </c>
      <c r="J434" s="478">
        <f t="shared" si="127"/>
        <v>0</v>
      </c>
      <c r="K434" s="478">
        <f t="shared" si="132"/>
        <v>0</v>
      </c>
      <c r="L434" s="478">
        <f t="shared" si="136"/>
        <v>0</v>
      </c>
    </row>
    <row r="435" spans="1:13" ht="15.75" customHeight="1" x14ac:dyDescent="0.25">
      <c r="A435" s="326" t="s">
        <v>995</v>
      </c>
      <c r="B435" s="305" t="s">
        <v>9</v>
      </c>
      <c r="C435" s="305">
        <v>271605</v>
      </c>
      <c r="D435" s="306" t="str">
        <f>'MEMÓRIA DE CÁLCULO'!B1043</f>
        <v>SUPORTE PARA BANCADA EM FERRO "T" 1/8" X 1 1/4"</v>
      </c>
      <c r="E435" s="301">
        <f>'MEMÓRIA DE CÁLCULO'!D1065</f>
        <v>53</v>
      </c>
      <c r="F435" s="305" t="s">
        <v>278</v>
      </c>
      <c r="G435" s="318"/>
      <c r="H435" s="318"/>
      <c r="I435" s="319">
        <f t="shared" si="144"/>
        <v>0</v>
      </c>
      <c r="J435" s="478">
        <f t="shared" si="127"/>
        <v>0</v>
      </c>
      <c r="K435" s="478">
        <f t="shared" si="132"/>
        <v>0</v>
      </c>
      <c r="L435" s="478">
        <f t="shared" si="136"/>
        <v>0</v>
      </c>
    </row>
    <row r="436" spans="1:13" ht="15" x14ac:dyDescent="0.25">
      <c r="A436" s="320" t="s">
        <v>996</v>
      </c>
      <c r="B436" s="305" t="s">
        <v>9</v>
      </c>
      <c r="C436" s="305">
        <v>271701</v>
      </c>
      <c r="D436" s="306" t="s">
        <v>802</v>
      </c>
      <c r="E436" s="301">
        <f>'MEMÓRIA DE CÁLCULO'!D1088</f>
        <v>24.400000000000002</v>
      </c>
      <c r="F436" s="305" t="s">
        <v>15</v>
      </c>
      <c r="G436" s="318"/>
      <c r="H436" s="318"/>
      <c r="I436" s="319">
        <f t="shared" si="144"/>
        <v>0</v>
      </c>
      <c r="J436" s="478">
        <f t="shared" si="127"/>
        <v>0</v>
      </c>
      <c r="K436" s="478">
        <f t="shared" si="132"/>
        <v>0</v>
      </c>
      <c r="L436" s="478">
        <f t="shared" si="136"/>
        <v>0</v>
      </c>
    </row>
    <row r="437" spans="1:13" ht="15" x14ac:dyDescent="0.25">
      <c r="A437" s="326" t="s">
        <v>997</v>
      </c>
      <c r="B437" s="305" t="s">
        <v>9</v>
      </c>
      <c r="C437" s="305">
        <v>271851</v>
      </c>
      <c r="D437" s="306" t="str">
        <f>'MEMÓRIA DE CÁLCULO'!B1089</f>
        <v>LETRA CAIXA INOX COLOCADA</v>
      </c>
      <c r="E437" s="301">
        <f>'MEMÓRIA DE CÁLCULO'!D1092</f>
        <v>21.3</v>
      </c>
      <c r="F437" s="305" t="s">
        <v>108</v>
      </c>
      <c r="G437" s="318"/>
      <c r="H437" s="318"/>
      <c r="I437" s="319">
        <f t="shared" si="144"/>
        <v>0</v>
      </c>
      <c r="J437" s="478">
        <f t="shared" si="127"/>
        <v>0</v>
      </c>
      <c r="K437" s="478">
        <f t="shared" si="132"/>
        <v>0</v>
      </c>
      <c r="L437" s="478">
        <f t="shared" si="136"/>
        <v>0</v>
      </c>
    </row>
    <row r="438" spans="1:13" ht="15" x14ac:dyDescent="0.25">
      <c r="A438" s="320" t="s">
        <v>998</v>
      </c>
      <c r="B438" s="305" t="s">
        <v>481</v>
      </c>
      <c r="C438" s="305">
        <v>2747</v>
      </c>
      <c r="D438" s="306" t="s">
        <v>820</v>
      </c>
      <c r="E438" s="301">
        <f>'MEMÓRIA DE CÁLCULO'!D1095</f>
        <v>410.13</v>
      </c>
      <c r="F438" s="305" t="s">
        <v>195</v>
      </c>
      <c r="G438" s="318"/>
      <c r="H438" s="318"/>
      <c r="I438" s="319">
        <f t="shared" si="144"/>
        <v>0</v>
      </c>
      <c r="J438" s="478">
        <f t="shared" si="127"/>
        <v>0</v>
      </c>
      <c r="K438" s="478">
        <f t="shared" si="132"/>
        <v>0</v>
      </c>
      <c r="L438" s="478">
        <f t="shared" ref="L438:L440" si="145">K438+J438</f>
        <v>0</v>
      </c>
    </row>
    <row r="439" spans="1:13" s="94" customFormat="1" ht="25.5" x14ac:dyDescent="0.25">
      <c r="A439" s="326" t="s">
        <v>1468</v>
      </c>
      <c r="B439" s="305" t="s">
        <v>44</v>
      </c>
      <c r="C439" s="305">
        <v>101965</v>
      </c>
      <c r="D439" s="306" t="str">
        <f>'MEMÓRIA DE CÁLCULO'!B1096</f>
        <v>PEITORIL LINEAR EM GRANITO OU MÁRMORE, L = 15CM, COMPRIMENTO DE ATÉ 2M, ASSENTADO COM ARGAMASSA 1:6 COM ADITIVO. AF_11/2020</v>
      </c>
      <c r="E439" s="301">
        <f>'MEMÓRIA DE CÁLCULO'!D1098</f>
        <v>85.6</v>
      </c>
      <c r="F439" s="305" t="s">
        <v>108</v>
      </c>
      <c r="G439" s="337"/>
      <c r="H439" s="337"/>
      <c r="I439" s="319">
        <f t="shared" si="144"/>
        <v>0</v>
      </c>
      <c r="J439" s="478">
        <f>I439/2</f>
        <v>0</v>
      </c>
      <c r="K439" s="478">
        <f>J439/2</f>
        <v>0</v>
      </c>
      <c r="L439" s="478">
        <f t="shared" si="145"/>
        <v>0</v>
      </c>
      <c r="M439" s="479"/>
    </row>
    <row r="440" spans="1:13" s="94" customFormat="1" ht="32.25" customHeight="1" thickBot="1" x14ac:dyDescent="0.3">
      <c r="A440" s="326" t="s">
        <v>1472</v>
      </c>
      <c r="B440" s="305" t="s">
        <v>9</v>
      </c>
      <c r="C440" s="305">
        <v>271303</v>
      </c>
      <c r="D440" s="306" t="str">
        <f>'MEMÓRIA DE CÁLCULO'!B1099</f>
        <v>BANCO DE CONCRETO POLIDO BASE EM ALVENARIA REBOCADA E PINTADA - PADRÃO GOINFRA</v>
      </c>
      <c r="E440" s="301">
        <f>'MEMÓRIA DE CÁLCULO'!D1102</f>
        <v>19.2</v>
      </c>
      <c r="F440" s="305" t="s">
        <v>108</v>
      </c>
      <c r="G440" s="318"/>
      <c r="H440" s="318"/>
      <c r="I440" s="319">
        <f t="shared" si="144"/>
        <v>0</v>
      </c>
      <c r="J440" s="478">
        <f t="shared" si="127"/>
        <v>0</v>
      </c>
      <c r="K440" s="478">
        <f t="shared" si="132"/>
        <v>0</v>
      </c>
      <c r="L440" s="478">
        <f t="shared" si="145"/>
        <v>0</v>
      </c>
      <c r="M440" s="479"/>
    </row>
    <row r="441" spans="1:13" thickBot="1" x14ac:dyDescent="0.3">
      <c r="A441" s="492" t="s">
        <v>310</v>
      </c>
      <c r="B441" s="493"/>
      <c r="C441" s="493"/>
      <c r="D441" s="493"/>
      <c r="E441" s="493"/>
      <c r="F441" s="493"/>
      <c r="G441" s="493"/>
      <c r="H441" s="493"/>
      <c r="I441" s="315">
        <f>ROUND(SUM(I430:I440),2)</f>
        <v>0</v>
      </c>
      <c r="J441" s="478">
        <f t="shared" si="127"/>
        <v>0</v>
      </c>
      <c r="K441" s="478">
        <f t="shared" si="132"/>
        <v>0</v>
      </c>
    </row>
    <row r="442" spans="1:13" thickBot="1" x14ac:dyDescent="0.3">
      <c r="A442" s="290" t="s">
        <v>2</v>
      </c>
      <c r="B442" s="290" t="s">
        <v>301</v>
      </c>
      <c r="C442" s="290" t="s">
        <v>302</v>
      </c>
      <c r="D442" s="316" t="s">
        <v>3</v>
      </c>
      <c r="E442" s="290" t="s">
        <v>4</v>
      </c>
      <c r="F442" s="290" t="s">
        <v>5</v>
      </c>
      <c r="G442" s="290" t="s">
        <v>6</v>
      </c>
      <c r="H442" s="290" t="s">
        <v>7</v>
      </c>
      <c r="I442" s="314" t="s">
        <v>8</v>
      </c>
      <c r="L442" s="478"/>
    </row>
    <row r="443" spans="1:13" ht="15" x14ac:dyDescent="0.25">
      <c r="A443" s="296">
        <v>25</v>
      </c>
      <c r="B443" s="297" t="s">
        <v>9</v>
      </c>
      <c r="C443" s="297">
        <v>100015</v>
      </c>
      <c r="D443" s="488" t="s">
        <v>1476</v>
      </c>
      <c r="E443" s="488"/>
      <c r="F443" s="488"/>
      <c r="G443" s="488"/>
      <c r="H443" s="488"/>
      <c r="I443" s="489"/>
      <c r="J443" s="478">
        <f t="shared" si="127"/>
        <v>0</v>
      </c>
      <c r="K443" s="478">
        <f t="shared" si="132"/>
        <v>0</v>
      </c>
      <c r="L443" s="478">
        <f t="shared" ref="L443:L445" si="146">K443+J443</f>
        <v>0</v>
      </c>
    </row>
    <row r="444" spans="1:13" ht="15" x14ac:dyDescent="0.25">
      <c r="A444" s="320" t="s">
        <v>999</v>
      </c>
      <c r="B444" s="305" t="s">
        <v>9</v>
      </c>
      <c r="C444" s="305">
        <v>44450</v>
      </c>
      <c r="D444" s="306" t="s">
        <v>826</v>
      </c>
      <c r="E444" s="301">
        <f>'MEMÓRIA DE CÁLCULO'!D1108</f>
        <v>120.09</v>
      </c>
      <c r="F444" s="305" t="s">
        <v>108</v>
      </c>
      <c r="G444" s="337"/>
      <c r="H444" s="337"/>
      <c r="I444" s="319">
        <f>(G444+H444)*E444</f>
        <v>0</v>
      </c>
      <c r="J444" s="478">
        <f>(G444*E444)/2</f>
        <v>0</v>
      </c>
      <c r="K444" s="478">
        <f>I444/2</f>
        <v>0</v>
      </c>
      <c r="L444" s="478">
        <f t="shared" ref="L444" si="147">K444+J444</f>
        <v>0</v>
      </c>
    </row>
    <row r="445" spans="1:13" ht="15" x14ac:dyDescent="0.25">
      <c r="A445" s="320" t="s">
        <v>1000</v>
      </c>
      <c r="B445" s="308" t="s">
        <v>9</v>
      </c>
      <c r="C445" s="308">
        <v>44455</v>
      </c>
      <c r="D445" s="306" t="s">
        <v>822</v>
      </c>
      <c r="E445" s="308">
        <f>'MEMÓRIA DE CÁLCULO'!D1112</f>
        <v>290.46999999999997</v>
      </c>
      <c r="F445" s="308" t="s">
        <v>108</v>
      </c>
      <c r="G445" s="337"/>
      <c r="H445" s="337"/>
      <c r="I445" s="319">
        <f t="shared" ref="I445:I455" si="148">(G445+H445)*E445</f>
        <v>0</v>
      </c>
      <c r="J445" s="478">
        <f t="shared" ref="J445:J455" si="149">(G445*E445)/2</f>
        <v>0</v>
      </c>
      <c r="K445" s="478">
        <f t="shared" ref="K445:K455" si="150">J445</f>
        <v>0</v>
      </c>
      <c r="L445" s="478">
        <f t="shared" si="146"/>
        <v>0</v>
      </c>
    </row>
    <row r="446" spans="1:13" s="94" customFormat="1" ht="16.5" customHeight="1" x14ac:dyDescent="0.25">
      <c r="A446" s="320" t="s">
        <v>1343</v>
      </c>
      <c r="B446" s="308" t="s">
        <v>9</v>
      </c>
      <c r="C446" s="308">
        <v>40310</v>
      </c>
      <c r="D446" s="306" t="s">
        <v>1351</v>
      </c>
      <c r="E446" s="382">
        <f>'MEMÓRIA DE CÁLCULO'!D1116</f>
        <v>856.13</v>
      </c>
      <c r="F446" s="308" t="s">
        <v>195</v>
      </c>
      <c r="G446" s="337"/>
      <c r="H446" s="337"/>
      <c r="I446" s="319">
        <f t="shared" si="148"/>
        <v>0</v>
      </c>
      <c r="J446" s="478">
        <f t="shared" si="149"/>
        <v>0</v>
      </c>
      <c r="K446" s="478">
        <f t="shared" si="150"/>
        <v>0</v>
      </c>
      <c r="L446" s="478">
        <f t="shared" ref="L446:L455" si="151">K446+J446</f>
        <v>0</v>
      </c>
      <c r="M446" s="479"/>
    </row>
    <row r="447" spans="1:13" s="94" customFormat="1" ht="15" x14ac:dyDescent="0.25">
      <c r="A447" s="320" t="s">
        <v>1344</v>
      </c>
      <c r="B447" s="308" t="s">
        <v>9</v>
      </c>
      <c r="C447" s="308">
        <v>40316</v>
      </c>
      <c r="D447" s="306" t="s">
        <v>1352</v>
      </c>
      <c r="E447" s="382">
        <f>'MEMÓRIA DE CÁLCULO'!D1120</f>
        <v>171.226</v>
      </c>
      <c r="F447" s="308" t="s">
        <v>52</v>
      </c>
      <c r="G447" s="337"/>
      <c r="H447" s="337"/>
      <c r="I447" s="319">
        <f t="shared" si="148"/>
        <v>0</v>
      </c>
      <c r="J447" s="478">
        <f t="shared" si="149"/>
        <v>0</v>
      </c>
      <c r="K447" s="478">
        <f t="shared" si="150"/>
        <v>0</v>
      </c>
      <c r="L447" s="478">
        <f t="shared" si="151"/>
        <v>0</v>
      </c>
      <c r="M447" s="479"/>
    </row>
    <row r="448" spans="1:13" s="94" customFormat="1" ht="16.5" customHeight="1" x14ac:dyDescent="0.25">
      <c r="A448" s="320" t="s">
        <v>1345</v>
      </c>
      <c r="B448" s="308" t="s">
        <v>9</v>
      </c>
      <c r="C448" s="308">
        <v>40320</v>
      </c>
      <c r="D448" s="306" t="s">
        <v>1353</v>
      </c>
      <c r="E448" s="382">
        <f>'MEMÓRIA DE CÁLCULO'!D1125</f>
        <v>3338.9070000000002</v>
      </c>
      <c r="F448" s="308" t="s">
        <v>1354</v>
      </c>
      <c r="G448" s="337"/>
      <c r="H448" s="337"/>
      <c r="I448" s="319">
        <f t="shared" si="148"/>
        <v>0</v>
      </c>
      <c r="J448" s="478">
        <f t="shared" si="149"/>
        <v>0</v>
      </c>
      <c r="K448" s="478">
        <f t="shared" si="150"/>
        <v>0</v>
      </c>
      <c r="L448" s="478">
        <f t="shared" si="151"/>
        <v>0</v>
      </c>
      <c r="M448" s="479"/>
    </row>
    <row r="449" spans="1:13" s="94" customFormat="1" ht="16.5" customHeight="1" x14ac:dyDescent="0.25">
      <c r="A449" s="320" t="s">
        <v>1346</v>
      </c>
      <c r="B449" s="308" t="s">
        <v>9</v>
      </c>
      <c r="C449" s="308">
        <v>40455</v>
      </c>
      <c r="D449" s="306" t="s">
        <v>1447</v>
      </c>
      <c r="E449" s="382">
        <f>'MEMÓRIA DE CÁLCULO'!D1129</f>
        <v>820.60060499999986</v>
      </c>
      <c r="F449" s="308" t="s">
        <v>1354</v>
      </c>
      <c r="G449" s="337"/>
      <c r="H449" s="337"/>
      <c r="I449" s="319">
        <f t="shared" ref="I449" si="152">(G449+H449)*E449</f>
        <v>0</v>
      </c>
      <c r="J449" s="478">
        <f t="shared" si="149"/>
        <v>0</v>
      </c>
      <c r="K449" s="478">
        <f t="shared" si="150"/>
        <v>0</v>
      </c>
      <c r="L449" s="478">
        <f t="shared" si="151"/>
        <v>0</v>
      </c>
      <c r="M449" s="479"/>
    </row>
    <row r="450" spans="1:13" s="94" customFormat="1" ht="15" x14ac:dyDescent="0.25">
      <c r="A450" s="320" t="s">
        <v>1347</v>
      </c>
      <c r="B450" s="308" t="s">
        <v>9</v>
      </c>
      <c r="C450" s="308">
        <v>40380</v>
      </c>
      <c r="D450" s="306" t="s">
        <v>1355</v>
      </c>
      <c r="E450" s="382">
        <f>'MEMÓRIA DE CÁLCULO'!D1132</f>
        <v>856.13</v>
      </c>
      <c r="F450" s="308" t="s">
        <v>195</v>
      </c>
      <c r="G450" s="337"/>
      <c r="H450" s="337"/>
      <c r="I450" s="319">
        <f t="shared" si="148"/>
        <v>0</v>
      </c>
      <c r="J450" s="478">
        <f t="shared" si="149"/>
        <v>0</v>
      </c>
      <c r="K450" s="478">
        <f t="shared" si="150"/>
        <v>0</v>
      </c>
      <c r="L450" s="478">
        <f t="shared" si="151"/>
        <v>0</v>
      </c>
      <c r="M450" s="479"/>
    </row>
    <row r="451" spans="1:13" s="94" customFormat="1" ht="16.5" customHeight="1" x14ac:dyDescent="0.25">
      <c r="A451" s="320" t="s">
        <v>1348</v>
      </c>
      <c r="B451" s="308" t="s">
        <v>9</v>
      </c>
      <c r="C451" s="308">
        <v>40385</v>
      </c>
      <c r="D451" s="306" t="s">
        <v>1432</v>
      </c>
      <c r="E451" s="382">
        <f>'MEMÓRIA DE CÁLCULO'!D1135</f>
        <v>856.13</v>
      </c>
      <c r="F451" s="308" t="s">
        <v>195</v>
      </c>
      <c r="G451" s="337"/>
      <c r="H451" s="337"/>
      <c r="I451" s="319">
        <f t="shared" si="148"/>
        <v>0</v>
      </c>
      <c r="J451" s="478">
        <f t="shared" si="149"/>
        <v>0</v>
      </c>
      <c r="K451" s="478">
        <f t="shared" si="150"/>
        <v>0</v>
      </c>
      <c r="L451" s="478">
        <f t="shared" si="151"/>
        <v>0</v>
      </c>
      <c r="M451" s="479"/>
    </row>
    <row r="452" spans="1:13" s="94" customFormat="1" ht="15" x14ac:dyDescent="0.25">
      <c r="A452" s="320" t="s">
        <v>1349</v>
      </c>
      <c r="B452" s="308" t="s">
        <v>9</v>
      </c>
      <c r="C452" s="308">
        <v>40609</v>
      </c>
      <c r="D452" s="306" t="s">
        <v>1356</v>
      </c>
      <c r="E452" s="382">
        <f>'MEMÓRIA DE CÁLCULO'!D1138</f>
        <v>856.13</v>
      </c>
      <c r="F452" s="308" t="s">
        <v>15</v>
      </c>
      <c r="G452" s="337"/>
      <c r="H452" s="337"/>
      <c r="I452" s="319">
        <f t="shared" si="148"/>
        <v>0</v>
      </c>
      <c r="J452" s="478">
        <f t="shared" si="149"/>
        <v>0</v>
      </c>
      <c r="K452" s="478">
        <f t="shared" si="150"/>
        <v>0</v>
      </c>
      <c r="L452" s="478">
        <f t="shared" si="151"/>
        <v>0</v>
      </c>
      <c r="M452" s="479"/>
    </row>
    <row r="453" spans="1:13" s="94" customFormat="1" ht="16.5" customHeight="1" x14ac:dyDescent="0.25">
      <c r="A453" s="320" t="s">
        <v>1350</v>
      </c>
      <c r="B453" s="308" t="s">
        <v>9</v>
      </c>
      <c r="C453" s="308">
        <v>40480</v>
      </c>
      <c r="D453" s="306" t="s">
        <v>1357</v>
      </c>
      <c r="E453" s="382">
        <f>'MEMÓRIA DE CÁLCULO'!D1142</f>
        <v>1.0273559999999999</v>
      </c>
      <c r="F453" s="308" t="s">
        <v>1358</v>
      </c>
      <c r="G453" s="337"/>
      <c r="H453" s="337"/>
      <c r="I453" s="319">
        <f>(G453+H453)*E453</f>
        <v>0</v>
      </c>
      <c r="J453" s="478">
        <f t="shared" si="149"/>
        <v>0</v>
      </c>
      <c r="K453" s="478">
        <f t="shared" si="150"/>
        <v>0</v>
      </c>
      <c r="L453" s="478">
        <f t="shared" si="151"/>
        <v>0</v>
      </c>
      <c r="M453" s="479"/>
    </row>
    <row r="454" spans="1:13" s="94" customFormat="1" ht="15" x14ac:dyDescent="0.25">
      <c r="A454" s="320" t="s">
        <v>1361</v>
      </c>
      <c r="B454" s="308" t="s">
        <v>9</v>
      </c>
      <c r="C454" s="308">
        <v>40490</v>
      </c>
      <c r="D454" s="306" t="s">
        <v>1359</v>
      </c>
      <c r="E454" s="382">
        <f>'MEMÓRIA DE CÁLCULO'!D1147</f>
        <v>0.85613000000000006</v>
      </c>
      <c r="F454" s="308" t="s">
        <v>1358</v>
      </c>
      <c r="G454" s="337"/>
      <c r="H454" s="337"/>
      <c r="I454" s="319">
        <f t="shared" si="148"/>
        <v>0</v>
      </c>
      <c r="J454" s="478">
        <f t="shared" si="149"/>
        <v>0</v>
      </c>
      <c r="K454" s="478">
        <f t="shared" si="150"/>
        <v>0</v>
      </c>
      <c r="L454" s="478">
        <f t="shared" si="151"/>
        <v>0</v>
      </c>
      <c r="M454" s="479"/>
    </row>
    <row r="455" spans="1:13" s="94" customFormat="1" thickBot="1" x14ac:dyDescent="0.3">
      <c r="A455" s="320" t="s">
        <v>1450</v>
      </c>
      <c r="B455" s="308" t="s">
        <v>9</v>
      </c>
      <c r="C455" s="308">
        <v>40615</v>
      </c>
      <c r="D455" s="306" t="s">
        <v>1360</v>
      </c>
      <c r="E455" s="382">
        <f>'MEMÓRIA DE CÁLCULO'!D1151</f>
        <v>8.561300000000001</v>
      </c>
      <c r="F455" s="308" t="s">
        <v>194</v>
      </c>
      <c r="G455" s="337"/>
      <c r="H455" s="337"/>
      <c r="I455" s="319">
        <f t="shared" si="148"/>
        <v>0</v>
      </c>
      <c r="J455" s="478">
        <f t="shared" si="149"/>
        <v>0</v>
      </c>
      <c r="K455" s="478">
        <f t="shared" si="150"/>
        <v>0</v>
      </c>
      <c r="L455" s="478">
        <f t="shared" si="151"/>
        <v>0</v>
      </c>
      <c r="M455" s="479"/>
    </row>
    <row r="456" spans="1:13" thickBot="1" x14ac:dyDescent="0.3">
      <c r="A456" s="492" t="s">
        <v>310</v>
      </c>
      <c r="B456" s="493"/>
      <c r="C456" s="493"/>
      <c r="D456" s="493"/>
      <c r="E456" s="493"/>
      <c r="F456" s="493"/>
      <c r="G456" s="493"/>
      <c r="H456" s="493"/>
      <c r="I456" s="315">
        <f>ROUND(SUM(I444:I455),2)</f>
        <v>0</v>
      </c>
    </row>
    <row r="457" spans="1:13" customFormat="1" thickBot="1" x14ac:dyDescent="0.3">
      <c r="A457" s="383"/>
      <c r="B457" s="384"/>
      <c r="C457" s="384"/>
      <c r="D457" s="385"/>
      <c r="E457" s="384"/>
      <c r="F457" s="386"/>
      <c r="G457" s="387"/>
      <c r="H457" s="388"/>
      <c r="I457" s="389"/>
      <c r="J457" s="482"/>
      <c r="K457" s="482"/>
      <c r="L457" s="480"/>
      <c r="M457" s="480"/>
    </row>
    <row r="458" spans="1:13" customFormat="1" thickBot="1" x14ac:dyDescent="0.3">
      <c r="A458" s="492" t="s">
        <v>311</v>
      </c>
      <c r="B458" s="493"/>
      <c r="C458" s="493"/>
      <c r="D458" s="493"/>
      <c r="E458" s="493"/>
      <c r="F458" s="493"/>
      <c r="G458" s="493"/>
      <c r="H458" s="493"/>
      <c r="I458" s="315">
        <f>ROUND(SUM(K1:K1050),2)</f>
        <v>0</v>
      </c>
      <c r="J458" s="482"/>
      <c r="K458" s="482"/>
      <c r="L458" s="480"/>
      <c r="M458" s="480"/>
    </row>
    <row r="459" spans="1:13" customFormat="1" thickBot="1" x14ac:dyDescent="0.3">
      <c r="A459" s="492" t="s">
        <v>312</v>
      </c>
      <c r="B459" s="493"/>
      <c r="C459" s="493"/>
      <c r="D459" s="493"/>
      <c r="E459" s="493"/>
      <c r="F459" s="493"/>
      <c r="G459" s="493"/>
      <c r="H459" s="493"/>
      <c r="I459" s="315">
        <f>I460-I458</f>
        <v>0</v>
      </c>
      <c r="J459" s="482"/>
      <c r="K459" s="482"/>
      <c r="L459" s="480"/>
      <c r="M459" s="480"/>
    </row>
    <row r="460" spans="1:13" customFormat="1" thickBot="1" x14ac:dyDescent="0.3">
      <c r="A460" s="492" t="s">
        <v>313</v>
      </c>
      <c r="B460" s="493"/>
      <c r="C460" s="493"/>
      <c r="D460" s="493"/>
      <c r="E460" s="493"/>
      <c r="F460" s="493"/>
      <c r="G460" s="493"/>
      <c r="H460" s="493"/>
      <c r="I460" s="315">
        <f>SUM(I24,I29,I37,I52,I68,I139,I297,I316,I328,I338,I346,I357,I367,I373,I381,I386,I394,I406,I416,I427,I441,I322,I332+I456+I410)</f>
        <v>0</v>
      </c>
      <c r="J460" s="482"/>
      <c r="K460" s="482"/>
      <c r="L460" s="480"/>
      <c r="M460" s="480"/>
    </row>
    <row r="461" spans="1:13" customFormat="1" thickBot="1" x14ac:dyDescent="0.3">
      <c r="A461" s="492" t="s">
        <v>1471</v>
      </c>
      <c r="B461" s="493"/>
      <c r="C461" s="493"/>
      <c r="D461" s="493"/>
      <c r="E461" s="493"/>
      <c r="F461" s="493"/>
      <c r="G461" s="493"/>
      <c r="H461" s="493"/>
      <c r="I461" s="315">
        <f>(J461*I460)-(J461*I456)</f>
        <v>0</v>
      </c>
      <c r="J461" s="487">
        <v>0.23880000000000001</v>
      </c>
      <c r="K461" s="482"/>
      <c r="L461" s="480"/>
      <c r="M461" s="480"/>
    </row>
    <row r="462" spans="1:13" customFormat="1" thickBot="1" x14ac:dyDescent="0.3">
      <c r="A462" s="492" t="s">
        <v>314</v>
      </c>
      <c r="B462" s="493"/>
      <c r="C462" s="493"/>
      <c r="D462" s="493"/>
      <c r="E462" s="493"/>
      <c r="F462" s="493"/>
      <c r="G462" s="493"/>
      <c r="H462" s="493"/>
      <c r="I462" s="315">
        <f>I461+I460</f>
        <v>0</v>
      </c>
      <c r="J462" s="482"/>
      <c r="K462" s="482"/>
      <c r="L462" s="480"/>
      <c r="M462" s="480"/>
    </row>
    <row r="463" spans="1:13" customFormat="1" ht="15" x14ac:dyDescent="0.25">
      <c r="A463" s="511" t="s">
        <v>1477</v>
      </c>
      <c r="B463" s="512"/>
      <c r="C463" s="512"/>
      <c r="D463" s="512"/>
      <c r="E463" s="512"/>
      <c r="F463" s="512"/>
      <c r="G463" s="512"/>
      <c r="H463" s="512"/>
      <c r="I463" s="513"/>
      <c r="J463" s="482"/>
      <c r="K463" s="482"/>
      <c r="L463" s="480"/>
      <c r="M463" s="480"/>
    </row>
    <row r="464" spans="1:13" customFormat="1" ht="15" x14ac:dyDescent="0.25">
      <c r="A464" s="508"/>
      <c r="B464" s="509"/>
      <c r="C464" s="509"/>
      <c r="D464" s="509"/>
      <c r="E464" s="509"/>
      <c r="F464" s="509"/>
      <c r="G464" s="509"/>
      <c r="H464" s="509"/>
      <c r="I464" s="510"/>
      <c r="J464" s="482"/>
      <c r="K464" s="482"/>
      <c r="L464" s="480"/>
      <c r="M464" s="480"/>
    </row>
    <row r="465" spans="1:13" customFormat="1" ht="15" x14ac:dyDescent="0.25">
      <c r="A465" s="502" t="s">
        <v>315</v>
      </c>
      <c r="B465" s="503"/>
      <c r="C465" s="503"/>
      <c r="D465" s="390"/>
      <c r="E465" s="391"/>
      <c r="F465" s="392"/>
      <c r="G465" s="393"/>
      <c r="H465" s="394"/>
      <c r="I465" s="395"/>
      <c r="J465" s="482"/>
      <c r="K465" s="482"/>
      <c r="L465" s="480"/>
      <c r="M465" s="480"/>
    </row>
    <row r="466" spans="1:13" customFormat="1" ht="15" x14ac:dyDescent="0.25">
      <c r="A466" s="396"/>
      <c r="B466" s="391"/>
      <c r="C466" s="391"/>
      <c r="D466" s="390"/>
      <c r="E466" s="391"/>
      <c r="F466" s="392"/>
      <c r="G466" s="393"/>
      <c r="H466" s="394"/>
      <c r="I466" s="395"/>
      <c r="J466" s="482"/>
      <c r="K466" s="482"/>
      <c r="L466" s="480"/>
      <c r="M466" s="480"/>
    </row>
    <row r="467" spans="1:13" customFormat="1" ht="15" x14ac:dyDescent="0.25">
      <c r="A467" s="396"/>
      <c r="B467" s="391"/>
      <c r="C467" s="391"/>
      <c r="D467" s="390"/>
      <c r="E467" s="391"/>
      <c r="F467" s="392"/>
      <c r="G467" s="393"/>
      <c r="H467" s="394"/>
      <c r="I467" s="395"/>
      <c r="J467" s="482"/>
      <c r="K467" s="482"/>
      <c r="L467" s="480"/>
      <c r="M467" s="480"/>
    </row>
    <row r="468" spans="1:13" customFormat="1" ht="15" x14ac:dyDescent="0.25">
      <c r="A468" s="396"/>
      <c r="B468" s="391"/>
      <c r="C468" s="391"/>
      <c r="D468" s="390"/>
      <c r="E468" s="391"/>
      <c r="F468" s="392"/>
      <c r="G468" s="393"/>
      <c r="H468" s="394"/>
      <c r="I468" s="395"/>
      <c r="J468" s="482"/>
      <c r="K468" s="482"/>
      <c r="L468" s="480"/>
      <c r="M468" s="480"/>
    </row>
    <row r="469" spans="1:13" customFormat="1" ht="15" x14ac:dyDescent="0.25">
      <c r="A469" s="396"/>
      <c r="B469" s="391"/>
      <c r="C469" s="391" t="s">
        <v>272</v>
      </c>
      <c r="D469" s="390"/>
      <c r="E469" s="391"/>
      <c r="F469" s="392" t="s">
        <v>272</v>
      </c>
      <c r="G469" s="397"/>
      <c r="H469" s="394"/>
      <c r="I469" s="395"/>
      <c r="J469" s="482"/>
      <c r="K469" s="482"/>
      <c r="L469" s="480"/>
      <c r="M469" s="480"/>
    </row>
    <row r="470" spans="1:13" customFormat="1" ht="15" x14ac:dyDescent="0.25">
      <c r="A470" s="396"/>
      <c r="B470" s="391"/>
      <c r="C470" s="398"/>
      <c r="D470" s="390"/>
      <c r="E470" s="391"/>
      <c r="F470" s="399"/>
      <c r="G470" s="400"/>
      <c r="H470" s="394"/>
      <c r="I470" s="395"/>
      <c r="J470" s="482"/>
      <c r="K470" s="482"/>
      <c r="L470" s="480"/>
      <c r="M470" s="480"/>
    </row>
    <row r="471" spans="1:13" customFormat="1" ht="15" x14ac:dyDescent="0.25">
      <c r="A471" s="401"/>
      <c r="B471" s="398"/>
      <c r="C471" s="391"/>
      <c r="D471" s="390"/>
      <c r="E471" s="391"/>
      <c r="F471" s="392"/>
      <c r="G471" s="397"/>
      <c r="H471" s="402"/>
      <c r="I471" s="403"/>
      <c r="J471" s="482"/>
      <c r="K471" s="482"/>
      <c r="L471" s="480"/>
      <c r="M471" s="480"/>
    </row>
    <row r="472" spans="1:13" customFormat="1" ht="15" x14ac:dyDescent="0.25">
      <c r="A472" s="396"/>
      <c r="B472" s="398"/>
      <c r="C472" s="391"/>
      <c r="D472" s="390"/>
      <c r="E472" s="391"/>
      <c r="F472" s="392"/>
      <c r="G472" s="397"/>
      <c r="H472" s="402"/>
      <c r="I472" s="403"/>
      <c r="J472" s="482"/>
      <c r="K472" s="482"/>
      <c r="L472" s="480"/>
      <c r="M472" s="480"/>
    </row>
    <row r="473" spans="1:13" customFormat="1" thickBot="1" x14ac:dyDescent="0.3">
      <c r="A473" s="404"/>
      <c r="B473" s="405"/>
      <c r="C473" s="406"/>
      <c r="D473" s="407"/>
      <c r="E473" s="406"/>
      <c r="F473" s="408"/>
      <c r="G473" s="409"/>
      <c r="H473" s="410"/>
      <c r="I473" s="411"/>
      <c r="J473" s="482"/>
      <c r="K473" s="482"/>
      <c r="L473" s="480"/>
      <c r="M473" s="480"/>
    </row>
    <row r="474" spans="1:13" customFormat="1" ht="15" x14ac:dyDescent="0.25">
      <c r="A474" s="81"/>
      <c r="B474" s="98"/>
      <c r="C474" s="97"/>
      <c r="D474" s="2"/>
      <c r="E474" s="97"/>
      <c r="F474" s="31"/>
      <c r="G474" s="15"/>
      <c r="H474" s="18"/>
      <c r="I474" s="19"/>
      <c r="J474" s="482"/>
      <c r="K474" s="482"/>
      <c r="L474" s="480"/>
      <c r="M474" s="480"/>
    </row>
    <row r="475" spans="1:13" customFormat="1" ht="15" x14ac:dyDescent="0.25">
      <c r="A475" s="81"/>
      <c r="B475" s="98"/>
      <c r="C475" s="97"/>
      <c r="D475" s="2"/>
      <c r="E475" s="97"/>
      <c r="F475" s="31"/>
      <c r="G475" s="1"/>
      <c r="H475" s="18"/>
      <c r="I475" s="19"/>
      <c r="J475" s="482"/>
      <c r="K475" s="482"/>
      <c r="L475" s="480"/>
      <c r="M475" s="480"/>
    </row>
    <row r="476" spans="1:13" customFormat="1" ht="15" x14ac:dyDescent="0.25">
      <c r="A476" s="16" t="s">
        <v>271</v>
      </c>
      <c r="B476" s="98"/>
      <c r="C476" s="98"/>
      <c r="D476" s="2"/>
      <c r="E476" s="97"/>
      <c r="F476" s="32"/>
      <c r="G476" s="43"/>
      <c r="H476" s="18"/>
      <c r="I476" s="19"/>
      <c r="J476" s="482"/>
      <c r="K476" s="482"/>
      <c r="L476" s="480"/>
      <c r="M476" s="480"/>
    </row>
    <row r="477" spans="1:13" customFormat="1" ht="15" x14ac:dyDescent="0.25">
      <c r="A477" s="16"/>
      <c r="B477" s="98"/>
      <c r="C477" s="98"/>
      <c r="D477" s="2"/>
      <c r="E477" s="97"/>
      <c r="F477" s="32"/>
      <c r="G477" s="16"/>
      <c r="H477" s="16"/>
      <c r="I477" s="19"/>
      <c r="J477" s="482"/>
      <c r="K477" s="482"/>
      <c r="L477" s="480"/>
      <c r="M477" s="480"/>
    </row>
    <row r="478" spans="1:13" customFormat="1" ht="15" x14ac:dyDescent="0.25">
      <c r="A478" s="16"/>
      <c r="B478" s="98"/>
      <c r="C478" s="98"/>
      <c r="D478" s="40"/>
      <c r="E478" s="98"/>
      <c r="F478" s="32"/>
      <c r="G478" s="16"/>
      <c r="H478" s="16"/>
      <c r="I478" s="19"/>
      <c r="J478" s="482"/>
      <c r="K478" s="482"/>
      <c r="L478" s="480"/>
      <c r="M478" s="480"/>
    </row>
    <row r="479" spans="1:13" customFormat="1" ht="15" x14ac:dyDescent="0.25">
      <c r="A479" s="81"/>
      <c r="B479" s="98"/>
      <c r="C479" s="97"/>
      <c r="D479" s="2"/>
      <c r="E479" s="97"/>
      <c r="F479" s="31"/>
      <c r="G479" s="15"/>
      <c r="H479" s="18"/>
      <c r="I479" s="19"/>
      <c r="J479" s="482"/>
      <c r="K479" s="482"/>
      <c r="L479" s="480"/>
      <c r="M479" s="480"/>
    </row>
    <row r="480" spans="1:13" customFormat="1" ht="15" x14ac:dyDescent="0.25">
      <c r="A480" s="81"/>
      <c r="B480" s="98"/>
      <c r="C480" s="97"/>
      <c r="D480" s="2"/>
      <c r="E480" s="97"/>
      <c r="F480" s="31"/>
      <c r="G480" s="15"/>
      <c r="H480" s="18"/>
      <c r="I480" s="19"/>
      <c r="J480" s="482"/>
      <c r="K480" s="482"/>
      <c r="L480" s="480"/>
      <c r="M480" s="480"/>
    </row>
    <row r="481" spans="1:13" customFormat="1" ht="15" x14ac:dyDescent="0.25">
      <c r="A481" s="81"/>
      <c r="B481" s="98"/>
      <c r="C481" s="97"/>
      <c r="D481" s="2"/>
      <c r="E481" s="97"/>
      <c r="F481" s="31"/>
      <c r="G481" s="1"/>
      <c r="H481" s="18"/>
      <c r="I481" s="19"/>
      <c r="J481" s="482"/>
      <c r="K481" s="482"/>
      <c r="L481" s="480"/>
      <c r="M481" s="480"/>
    </row>
    <row r="482" spans="1:13" customFormat="1" ht="15" x14ac:dyDescent="0.25">
      <c r="A482" s="16" t="s">
        <v>271</v>
      </c>
      <c r="B482" s="98"/>
      <c r="C482" s="98"/>
      <c r="D482" s="2"/>
      <c r="E482" s="97"/>
      <c r="F482" s="33"/>
      <c r="G482" s="43"/>
      <c r="H482" s="18"/>
      <c r="I482" s="19"/>
      <c r="J482" s="482"/>
      <c r="K482" s="482"/>
      <c r="L482" s="480"/>
      <c r="M482" s="480"/>
    </row>
    <row r="483" spans="1:13" x14ac:dyDescent="0.25">
      <c r="A483" s="82"/>
      <c r="B483" s="82"/>
      <c r="C483" s="82"/>
    </row>
    <row r="484" spans="1:13" x14ac:dyDescent="0.25">
      <c r="A484" s="82"/>
      <c r="B484" s="82"/>
      <c r="C484" s="82"/>
    </row>
    <row r="485" spans="1:13" x14ac:dyDescent="0.25">
      <c r="A485" s="82"/>
      <c r="B485" s="82"/>
      <c r="C485" s="82"/>
    </row>
    <row r="486" spans="1:13" x14ac:dyDescent="0.25">
      <c r="A486" s="82"/>
      <c r="B486" s="82"/>
      <c r="C486" s="82"/>
    </row>
    <row r="487" spans="1:13" x14ac:dyDescent="0.25">
      <c r="A487" s="82"/>
      <c r="B487" s="82"/>
      <c r="C487" s="82"/>
    </row>
    <row r="488" spans="1:13" x14ac:dyDescent="0.25">
      <c r="A488" s="82"/>
      <c r="B488" s="82"/>
      <c r="C488" s="82"/>
    </row>
  </sheetData>
  <sheetProtection selectLockedCells="1"/>
  <mergeCells count="85">
    <mergeCell ref="D369:I369"/>
    <mergeCell ref="D375:I375"/>
    <mergeCell ref="A464:I464"/>
    <mergeCell ref="A463:I463"/>
    <mergeCell ref="A458:H458"/>
    <mergeCell ref="A459:H459"/>
    <mergeCell ref="A461:H461"/>
    <mergeCell ref="A462:H462"/>
    <mergeCell ref="A386:H386"/>
    <mergeCell ref="A394:H394"/>
    <mergeCell ref="A406:H406"/>
    <mergeCell ref="A427:H427"/>
    <mergeCell ref="A416:H416"/>
    <mergeCell ref="G405:H405"/>
    <mergeCell ref="D408:I408"/>
    <mergeCell ref="A410:H410"/>
    <mergeCell ref="A465:C465"/>
    <mergeCell ref="A29:H29"/>
    <mergeCell ref="D31:I31"/>
    <mergeCell ref="A367:H367"/>
    <mergeCell ref="A373:H373"/>
    <mergeCell ref="A381:H381"/>
    <mergeCell ref="D39:I39"/>
    <mergeCell ref="D54:I54"/>
    <mergeCell ref="A37:H37"/>
    <mergeCell ref="A52:H52"/>
    <mergeCell ref="A332:H332"/>
    <mergeCell ref="G156:H156"/>
    <mergeCell ref="G228:H228"/>
    <mergeCell ref="G252:H252"/>
    <mergeCell ref="A441:H441"/>
    <mergeCell ref="G335:H335"/>
    <mergeCell ref="C1:I1"/>
    <mergeCell ref="C2:I2"/>
    <mergeCell ref="A24:H24"/>
    <mergeCell ref="D14:I14"/>
    <mergeCell ref="D26:I26"/>
    <mergeCell ref="G17:H17"/>
    <mergeCell ref="G23:H23"/>
    <mergeCell ref="A68:H68"/>
    <mergeCell ref="A139:H139"/>
    <mergeCell ref="A297:H297"/>
    <mergeCell ref="A316:H316"/>
    <mergeCell ref="A322:H322"/>
    <mergeCell ref="D141:I141"/>
    <mergeCell ref="D299:I299"/>
    <mergeCell ref="D318:I318"/>
    <mergeCell ref="G313:H313"/>
    <mergeCell ref="D70:I70"/>
    <mergeCell ref="A460:H460"/>
    <mergeCell ref="D412:I412"/>
    <mergeCell ref="D418:I418"/>
    <mergeCell ref="D388:I388"/>
    <mergeCell ref="D396:I396"/>
    <mergeCell ref="D429:I429"/>
    <mergeCell ref="D443:I443"/>
    <mergeCell ref="A456:H456"/>
    <mergeCell ref="D324:I324"/>
    <mergeCell ref="D334:I334"/>
    <mergeCell ref="D340:I340"/>
    <mergeCell ref="D348:I348"/>
    <mergeCell ref="D359:I359"/>
    <mergeCell ref="A328:H328"/>
    <mergeCell ref="A338:H338"/>
    <mergeCell ref="A346:H346"/>
    <mergeCell ref="A357:H357"/>
    <mergeCell ref="G336:H336"/>
    <mergeCell ref="G355:H355"/>
    <mergeCell ref="G356:H356"/>
    <mergeCell ref="D383:I383"/>
    <mergeCell ref="G300:H300"/>
    <mergeCell ref="G301:H301"/>
    <mergeCell ref="G314:H314"/>
    <mergeCell ref="G315:H315"/>
    <mergeCell ref="G307:H307"/>
    <mergeCell ref="G308:H308"/>
    <mergeCell ref="G302:H302"/>
    <mergeCell ref="G303:H303"/>
    <mergeCell ref="G304:H304"/>
    <mergeCell ref="G305:H305"/>
    <mergeCell ref="G306:H306"/>
    <mergeCell ref="G312:H312"/>
    <mergeCell ref="G309:H309"/>
    <mergeCell ref="G310:H310"/>
    <mergeCell ref="G311:H311"/>
  </mergeCells>
  <phoneticPr fontId="11" type="noConversion"/>
  <pageMargins left="0.70866141732283472" right="0.70866141732283472" top="0.59055118110236227" bottom="0.59055118110236227" header="0.31496062992125984" footer="0.31496062992125984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0"/>
  <sheetViews>
    <sheetView showGridLines="0" zoomScale="115" zoomScaleNormal="115" workbookViewId="0">
      <selection activeCell="B7" sqref="B7"/>
    </sheetView>
  </sheetViews>
  <sheetFormatPr defaultColWidth="8.85546875" defaultRowHeight="15" x14ac:dyDescent="0.25"/>
  <cols>
    <col min="1" max="1" width="11.42578125" style="11" customWidth="1"/>
    <col min="2" max="2" width="76.85546875" style="12" bestFit="1" customWidth="1"/>
    <col min="3" max="3" width="8.28515625" style="48" bestFit="1" customWidth="1"/>
    <col min="4" max="4" width="39.140625" style="10" customWidth="1"/>
    <col min="6" max="16384" width="8.85546875" style="5"/>
  </cols>
  <sheetData>
    <row r="1" spans="1:5" x14ac:dyDescent="0.25">
      <c r="A1" s="525" t="str">
        <f>ORÇAMENTO!C1</f>
        <v>PREFEITURA MUNICIPAL DE CATALÃO</v>
      </c>
      <c r="B1" s="526"/>
      <c r="C1" s="527"/>
      <c r="D1" s="158"/>
    </row>
    <row r="2" spans="1:5" x14ac:dyDescent="0.25">
      <c r="A2" s="528" t="s">
        <v>325</v>
      </c>
      <c r="B2" s="529"/>
      <c r="C2" s="530"/>
      <c r="D2" s="159"/>
    </row>
    <row r="3" spans="1:5" x14ac:dyDescent="0.25">
      <c r="A3" s="160" t="str">
        <f>ORÇAMENTO!C3</f>
        <v>SETOR</v>
      </c>
      <c r="B3" s="161" t="str">
        <f>ORÇAMENTO!D3</f>
        <v>SECRETARIA MUNICIPAL DE OBRAS</v>
      </c>
      <c r="C3" s="162"/>
      <c r="D3" s="159"/>
    </row>
    <row r="4" spans="1:5" x14ac:dyDescent="0.25">
      <c r="A4" s="160" t="str">
        <f>ORÇAMENTO!C4</f>
        <v>OBJETO</v>
      </c>
      <c r="B4" s="161" t="s">
        <v>1494</v>
      </c>
      <c r="C4" s="162"/>
      <c r="D4" s="159"/>
    </row>
    <row r="5" spans="1:5" x14ac:dyDescent="0.25">
      <c r="A5" s="160" t="str">
        <f>ORÇAMENTO!C5</f>
        <v>PROCESSO</v>
      </c>
      <c r="B5" s="163">
        <f>ORÇAMENTO!D5</f>
        <v>2021003462</v>
      </c>
      <c r="C5" s="162"/>
      <c r="D5" s="159"/>
    </row>
    <row r="6" spans="1:5" ht="30" customHeight="1" x14ac:dyDescent="0.25">
      <c r="A6" s="160" t="str">
        <f>ORÇAMENTO!C6</f>
        <v>ENDEREÇO</v>
      </c>
      <c r="B6" s="164" t="str">
        <f>ORÇAMENTO!D6</f>
        <v>ESQUINA DA RUA ALBINO FELIPE DO NASCIMENTO COM RUA MOZART SALVIANO, BAIRRO MARIA AMÉLIA II (ÁREA DE EQUIPAMENTO COMUNITÁRIO I)</v>
      </c>
      <c r="C6" s="162"/>
      <c r="D6" s="159"/>
    </row>
    <row r="7" spans="1:5" ht="24" x14ac:dyDescent="0.25">
      <c r="A7" s="160" t="str">
        <f>ORÇAMENTO!C7</f>
        <v>TABELAS</v>
      </c>
      <c r="B7" s="413" t="str">
        <f>ORÇAMENTO!D7</f>
        <v>TABELA GOINFRA 142 - CUSTOS DE OBRAS CIVIS - NOVEMBRO/2020 - DESONERADA - DATA BASE: 01/11/2020</v>
      </c>
      <c r="C7" s="162"/>
      <c r="D7" s="159"/>
    </row>
    <row r="8" spans="1:5" ht="24.75" x14ac:dyDescent="0.25">
      <c r="A8" s="160"/>
      <c r="B8" s="164" t="str">
        <f>ORÇAMENTO!D8</f>
        <v>TABELA SINAPI PCI.817.01 - CUSTO DE COMPOSIÇÕES - SINTÉTITICO - NOVEMBRO/2020 - COM DESONERAÇÃO - DATA BASE: 15/12/2020</v>
      </c>
      <c r="C8" s="162"/>
      <c r="D8" s="159"/>
    </row>
    <row r="9" spans="1:5" s="94" customFormat="1" ht="24.75" x14ac:dyDescent="0.25">
      <c r="A9" s="160"/>
      <c r="B9" s="164" t="str">
        <f>ORÇAMENTO!D9</f>
        <v>TABELA DE TERRAPLENAGEM, PAVIMENTAÇÃO E OBRAS DE ARTE ESPECIAIS - MAR/18 - COM DESONERAÇÃO (T135) - DATA BASE: 01/03/2018</v>
      </c>
      <c r="C9" s="162"/>
      <c r="D9" s="159"/>
      <c r="E9"/>
    </row>
    <row r="10" spans="1:5" ht="15" customHeight="1" thickBot="1" x14ac:dyDescent="0.3">
      <c r="A10" s="165" t="str">
        <f>ORÇAMENTO!C10</f>
        <v xml:space="preserve">DATA </v>
      </c>
      <c r="B10" s="412" t="s">
        <v>1491</v>
      </c>
      <c r="C10" s="166"/>
      <c r="D10" s="167"/>
    </row>
    <row r="11" spans="1:5" ht="15.75" thickBot="1" x14ac:dyDescent="0.3">
      <c r="A11" s="166"/>
      <c r="B11" s="168"/>
      <c r="C11" s="166"/>
      <c r="D11" s="166"/>
    </row>
    <row r="12" spans="1:5" ht="15.75" thickBot="1" x14ac:dyDescent="0.3">
      <c r="A12" s="169">
        <v>1</v>
      </c>
      <c r="B12" s="170" t="s">
        <v>10</v>
      </c>
      <c r="C12" s="171"/>
      <c r="D12" s="171"/>
      <c r="E12" s="5"/>
    </row>
    <row r="13" spans="1:5" ht="15.75" thickBot="1" x14ac:dyDescent="0.3">
      <c r="A13" s="172" t="s">
        <v>2</v>
      </c>
      <c r="B13" s="172" t="s">
        <v>316</v>
      </c>
      <c r="C13" s="172" t="s">
        <v>317</v>
      </c>
      <c r="D13" s="172" t="s">
        <v>318</v>
      </c>
      <c r="E13" s="5"/>
    </row>
    <row r="14" spans="1:5" ht="24" x14ac:dyDescent="0.25">
      <c r="A14" s="173" t="str">
        <f>ORÇAMENTO!A15</f>
        <v>1.1</v>
      </c>
      <c r="B14" s="174" t="str">
        <f>ORÇAMENTO!D15</f>
        <v>CORTE/DESTOC./RETIRADA/REATERRO (MANUAIS) DE ÁRVORE GRANDE PORTE ( H = 8 A 10 M / DIÂMETRO TRONCO 60 A 70CM E COPA DE 10 A 13M ) C/TRANSP.ATE CB. E CARGA</v>
      </c>
      <c r="C14" s="173" t="str">
        <f>ORÇAMENTO!F15</f>
        <v xml:space="preserve">Un </v>
      </c>
      <c r="D14" s="175" t="s">
        <v>460</v>
      </c>
      <c r="E14" s="5"/>
    </row>
    <row r="15" spans="1:5" x14ac:dyDescent="0.25">
      <c r="A15" s="176"/>
      <c r="B15" s="177" t="s">
        <v>461</v>
      </c>
      <c r="C15" s="176" t="s">
        <v>278</v>
      </c>
      <c r="D15" s="178">
        <v>1</v>
      </c>
      <c r="E15" s="5"/>
    </row>
    <row r="16" spans="1:5" ht="15.75" thickBot="1" x14ac:dyDescent="0.3">
      <c r="A16" s="516" t="s">
        <v>43</v>
      </c>
      <c r="B16" s="517"/>
      <c r="C16" s="518"/>
      <c r="D16" s="179">
        <f>D15</f>
        <v>1</v>
      </c>
      <c r="E16" s="5"/>
    </row>
    <row r="17" spans="1:5" x14ac:dyDescent="0.25">
      <c r="A17" s="173" t="str">
        <f>ORÇAMENTO!A16</f>
        <v>1.2</v>
      </c>
      <c r="B17" s="174" t="str">
        <f>ORÇAMENTO!D16</f>
        <v xml:space="preserve">LIMPEZA MECANICA DE TERRENO </v>
      </c>
      <c r="C17" s="173" t="s">
        <v>195</v>
      </c>
      <c r="D17" s="175" t="s">
        <v>463</v>
      </c>
      <c r="E17" s="5"/>
    </row>
    <row r="18" spans="1:5" x14ac:dyDescent="0.25">
      <c r="A18" s="176"/>
      <c r="B18" s="177" t="s">
        <v>973</v>
      </c>
      <c r="C18" s="176" t="s">
        <v>195</v>
      </c>
      <c r="D18" s="178">
        <v>4520.6000000000004</v>
      </c>
      <c r="E18" s="5"/>
    </row>
    <row r="19" spans="1:5" ht="15.75" thickBot="1" x14ac:dyDescent="0.3">
      <c r="A19" s="516" t="s">
        <v>43</v>
      </c>
      <c r="B19" s="517"/>
      <c r="C19" s="518"/>
      <c r="D19" s="179">
        <f>D18</f>
        <v>4520.6000000000004</v>
      </c>
      <c r="E19" s="5"/>
    </row>
    <row r="20" spans="1:5" ht="24" x14ac:dyDescent="0.25">
      <c r="A20" s="173" t="str">
        <f>ORÇAMENTO!A17</f>
        <v>1.3</v>
      </c>
      <c r="B20" s="174" t="str">
        <f>ORÇAMENTO!D17</f>
        <v>LOCACAO DE CONTAINER 2,30 X 6,00 M, ALT. 2,50 M, PARA ESCRITORIO, SEM DIVISORIAS INTERNAS E SEM SANITARIO</v>
      </c>
      <c r="C20" s="173" t="s">
        <v>51</v>
      </c>
      <c r="D20" s="180" t="s">
        <v>319</v>
      </c>
      <c r="E20" s="5"/>
    </row>
    <row r="21" spans="1:5" x14ac:dyDescent="0.25">
      <c r="A21" s="176"/>
      <c r="B21" s="181" t="s">
        <v>50</v>
      </c>
      <c r="C21" s="182" t="s">
        <v>51</v>
      </c>
      <c r="D21" s="183">
        <v>12</v>
      </c>
      <c r="E21" s="5"/>
    </row>
    <row r="22" spans="1:5" ht="15" customHeight="1" thickBot="1" x14ac:dyDescent="0.3">
      <c r="A22" s="516" t="s">
        <v>43</v>
      </c>
      <c r="B22" s="517"/>
      <c r="C22" s="518"/>
      <c r="D22" s="179">
        <f>D21</f>
        <v>12</v>
      </c>
      <c r="E22" s="5"/>
    </row>
    <row r="23" spans="1:5" ht="24" x14ac:dyDescent="0.25">
      <c r="A23" s="184" t="str">
        <f>ORÇAMENTO!A18</f>
        <v>1.4</v>
      </c>
      <c r="B23" s="185" t="str">
        <f>ORÇAMENTO!D18</f>
        <v xml:space="preserve">LOCAÇÃO DA OBRA, EXECUÇÃO DE GABARITO SEM REAPROVEITAMENTO, INCLUSO PINTURA (FACE INTERNA DO RIPÃO 15CM) E PIQUETE COM TESTEMUNHA </v>
      </c>
      <c r="C23" s="186" t="s">
        <v>195</v>
      </c>
      <c r="D23" s="182" t="s">
        <v>464</v>
      </c>
      <c r="E23" s="5"/>
    </row>
    <row r="24" spans="1:5" x14ac:dyDescent="0.25">
      <c r="A24" s="187" t="s">
        <v>367</v>
      </c>
      <c r="B24" s="177" t="s">
        <v>468</v>
      </c>
      <c r="C24" s="182" t="s">
        <v>195</v>
      </c>
      <c r="D24" s="178">
        <v>927.4</v>
      </c>
      <c r="E24" s="5"/>
    </row>
    <row r="25" spans="1:5" x14ac:dyDescent="0.25">
      <c r="A25" s="176" t="s">
        <v>368</v>
      </c>
      <c r="B25" s="177" t="s">
        <v>467</v>
      </c>
      <c r="C25" s="182" t="s">
        <v>195</v>
      </c>
      <c r="D25" s="178">
        <v>77.599999999999994</v>
      </c>
      <c r="E25" s="5"/>
    </row>
    <row r="26" spans="1:5" x14ac:dyDescent="0.25">
      <c r="A26" s="187" t="s">
        <v>369</v>
      </c>
      <c r="B26" s="188" t="s">
        <v>466</v>
      </c>
      <c r="C26" s="182" t="s">
        <v>195</v>
      </c>
      <c r="D26" s="189">
        <v>23.6</v>
      </c>
      <c r="E26" s="5"/>
    </row>
    <row r="27" spans="1:5" x14ac:dyDescent="0.25">
      <c r="A27" s="187" t="s">
        <v>377</v>
      </c>
      <c r="B27" s="188" t="s">
        <v>465</v>
      </c>
      <c r="C27" s="182" t="s">
        <v>195</v>
      </c>
      <c r="D27" s="189">
        <v>14.5</v>
      </c>
      <c r="E27" s="5"/>
    </row>
    <row r="28" spans="1:5" ht="15" customHeight="1" thickBot="1" x14ac:dyDescent="0.3">
      <c r="A28" s="516" t="s">
        <v>1489</v>
      </c>
      <c r="B28" s="517"/>
      <c r="C28" s="518"/>
      <c r="D28" s="179">
        <f>SUM(D24:D27)</f>
        <v>1043.0999999999999</v>
      </c>
      <c r="E28" s="5"/>
    </row>
    <row r="29" spans="1:5" ht="24" x14ac:dyDescent="0.25">
      <c r="A29" s="184" t="str">
        <f>ORÇAMENTO!A19</f>
        <v>1.5</v>
      </c>
      <c r="B29" s="185" t="str">
        <f>ORÇAMENTO!D19</f>
        <v xml:space="preserve">PLACA DE OBRA PLOTADA EM CHAPA METÁLICA 26 , AFIXADA EM CAVALETES DE MADEIRA DE LEI (VIGOTAS 6X12CM) - PADRÃO GOINFRA </v>
      </c>
      <c r="C29" s="186" t="s">
        <v>195</v>
      </c>
      <c r="D29" s="182" t="s">
        <v>326</v>
      </c>
      <c r="E29" s="5"/>
    </row>
    <row r="30" spans="1:5" x14ac:dyDescent="0.25">
      <c r="A30" s="187" t="s">
        <v>367</v>
      </c>
      <c r="B30" s="181" t="s">
        <v>58</v>
      </c>
      <c r="C30" s="182" t="s">
        <v>108</v>
      </c>
      <c r="D30" s="183">
        <v>2</v>
      </c>
      <c r="E30" s="5"/>
    </row>
    <row r="31" spans="1:5" x14ac:dyDescent="0.25">
      <c r="A31" s="176" t="s">
        <v>368</v>
      </c>
      <c r="B31" s="181" t="s">
        <v>59</v>
      </c>
      <c r="C31" s="182" t="s">
        <v>108</v>
      </c>
      <c r="D31" s="183">
        <v>1.5</v>
      </c>
      <c r="E31" s="5"/>
    </row>
    <row r="32" spans="1:5" ht="15.75" thickBot="1" x14ac:dyDescent="0.3">
      <c r="A32" s="516" t="s">
        <v>471</v>
      </c>
      <c r="B32" s="517"/>
      <c r="C32" s="518"/>
      <c r="D32" s="179">
        <f>D31*D30</f>
        <v>3</v>
      </c>
      <c r="E32" s="5"/>
    </row>
    <row r="33" spans="1:5" ht="30" customHeight="1" x14ac:dyDescent="0.25">
      <c r="A33" s="184" t="str">
        <f>ORÇAMENTO!A20</f>
        <v>1.6</v>
      </c>
      <c r="B33" s="185" t="str">
        <f>ORÇAMENTO!D20</f>
        <v xml:space="preserve">CONSUMO DE ESGOTO </v>
      </c>
      <c r="C33" s="190" t="str">
        <f>ORÇAMENTO!F20</f>
        <v xml:space="preserve">m3 </v>
      </c>
      <c r="D33" s="182" t="s">
        <v>328</v>
      </c>
      <c r="E33" s="5"/>
    </row>
    <row r="34" spans="1:5" x14ac:dyDescent="0.25">
      <c r="A34" s="187" t="s">
        <v>367</v>
      </c>
      <c r="B34" s="181" t="s">
        <v>329</v>
      </c>
      <c r="C34" s="182" t="s">
        <v>330</v>
      </c>
      <c r="D34" s="191">
        <v>0.46279999999999999</v>
      </c>
      <c r="E34" s="5"/>
    </row>
    <row r="35" spans="1:5" x14ac:dyDescent="0.25">
      <c r="A35" s="176" t="s">
        <v>368</v>
      </c>
      <c r="B35" s="181" t="s">
        <v>1138</v>
      </c>
      <c r="C35" s="192" t="s">
        <v>195</v>
      </c>
      <c r="D35" s="193">
        <f>D28</f>
        <v>1043.0999999999999</v>
      </c>
      <c r="E35" s="5"/>
    </row>
    <row r="36" spans="1:5" ht="15.75" thickBot="1" x14ac:dyDescent="0.3">
      <c r="A36" s="516" t="s">
        <v>471</v>
      </c>
      <c r="B36" s="517"/>
      <c r="C36" s="518"/>
      <c r="D36" s="179">
        <f>D35*D34</f>
        <v>482.74667999999997</v>
      </c>
      <c r="E36" s="5"/>
    </row>
    <row r="37" spans="1:5" ht="30" customHeight="1" x14ac:dyDescent="0.25">
      <c r="A37" s="184" t="str">
        <f>ORÇAMENTO!A21</f>
        <v>1.7</v>
      </c>
      <c r="B37" s="185" t="s">
        <v>327</v>
      </c>
      <c r="C37" s="186" t="s">
        <v>63</v>
      </c>
      <c r="D37" s="182" t="s">
        <v>328</v>
      </c>
      <c r="E37" s="5"/>
    </row>
    <row r="38" spans="1:5" x14ac:dyDescent="0.25">
      <c r="A38" s="187" t="s">
        <v>367</v>
      </c>
      <c r="B38" s="181" t="s">
        <v>329</v>
      </c>
      <c r="C38" s="182" t="s">
        <v>330</v>
      </c>
      <c r="D38" s="191">
        <v>0.46279999999999999</v>
      </c>
      <c r="E38" s="5"/>
    </row>
    <row r="39" spans="1:5" x14ac:dyDescent="0.25">
      <c r="A39" s="176" t="s">
        <v>368</v>
      </c>
      <c r="B39" s="181" t="s">
        <v>1138</v>
      </c>
      <c r="C39" s="192" t="s">
        <v>195</v>
      </c>
      <c r="D39" s="193">
        <f>D28</f>
        <v>1043.0999999999999</v>
      </c>
      <c r="E39" s="5"/>
    </row>
    <row r="40" spans="1:5" ht="15.75" thickBot="1" x14ac:dyDescent="0.3">
      <c r="A40" s="516" t="s">
        <v>471</v>
      </c>
      <c r="B40" s="517"/>
      <c r="C40" s="518"/>
      <c r="D40" s="179">
        <f>D39*D38</f>
        <v>482.74667999999997</v>
      </c>
      <c r="E40" s="5"/>
    </row>
    <row r="41" spans="1:5" ht="30" customHeight="1" x14ac:dyDescent="0.25">
      <c r="A41" s="184" t="str">
        <f>ORÇAMENTO!A22</f>
        <v>1.8</v>
      </c>
      <c r="B41" s="185" t="s">
        <v>331</v>
      </c>
      <c r="C41" s="186" t="s">
        <v>63</v>
      </c>
      <c r="D41" s="182" t="s">
        <v>333</v>
      </c>
      <c r="E41" s="5"/>
    </row>
    <row r="42" spans="1:5" x14ac:dyDescent="0.25">
      <c r="A42" s="187" t="s">
        <v>367</v>
      </c>
      <c r="B42" s="181" t="s">
        <v>329</v>
      </c>
      <c r="C42" s="182" t="s">
        <v>332</v>
      </c>
      <c r="D42" s="194">
        <v>3.2951700000000002</v>
      </c>
      <c r="E42" s="5"/>
    </row>
    <row r="43" spans="1:5" x14ac:dyDescent="0.25">
      <c r="A43" s="176" t="s">
        <v>368</v>
      </c>
      <c r="B43" s="195" t="str">
        <f>B39</f>
        <v>Área construída: conforme item 1.4</v>
      </c>
      <c r="C43" s="192" t="s">
        <v>195</v>
      </c>
      <c r="D43" s="193">
        <f>D28</f>
        <v>1043.0999999999999</v>
      </c>
      <c r="E43" s="5"/>
    </row>
    <row r="44" spans="1:5" ht="15.75" thickBot="1" x14ac:dyDescent="0.3">
      <c r="A44" s="516" t="s">
        <v>471</v>
      </c>
      <c r="B44" s="517"/>
      <c r="C44" s="518"/>
      <c r="D44" s="179">
        <f>D43*D42</f>
        <v>3437.1918269999996</v>
      </c>
      <c r="E44" s="5"/>
    </row>
    <row r="45" spans="1:5" ht="38.25" customHeight="1" x14ac:dyDescent="0.25">
      <c r="A45" s="184" t="str">
        <f>ORÇAMENTO!A23</f>
        <v>1.9</v>
      </c>
      <c r="B45" s="185" t="str">
        <f>ORÇAMENTO!D23</f>
        <v>LOCACAO DE CONTAINER 2,30 X 4,30 M, ALT. 2,50 M, P/ SANITARIO, C/ 5 BACIAS, 1 LAVATORIO E 4 MICTORIOS</v>
      </c>
      <c r="C45" s="186" t="str">
        <f>ORÇAMENTO!F23</f>
        <v>MÊS</v>
      </c>
      <c r="D45" s="182" t="s">
        <v>50</v>
      </c>
      <c r="E45" s="5"/>
    </row>
    <row r="46" spans="1:5" x14ac:dyDescent="0.25">
      <c r="A46" s="176"/>
      <c r="B46" s="181" t="s">
        <v>50</v>
      </c>
      <c r="C46" s="182" t="str">
        <f>C45</f>
        <v>MÊS</v>
      </c>
      <c r="D46" s="183">
        <v>12</v>
      </c>
      <c r="E46" s="5"/>
    </row>
    <row r="47" spans="1:5" ht="15.75" thickBot="1" x14ac:dyDescent="0.3">
      <c r="A47" s="516" t="s">
        <v>43</v>
      </c>
      <c r="B47" s="517"/>
      <c r="C47" s="518"/>
      <c r="D47" s="179">
        <f>D46</f>
        <v>12</v>
      </c>
      <c r="E47" s="5"/>
    </row>
    <row r="48" spans="1:5" ht="15.75" thickBot="1" x14ac:dyDescent="0.3">
      <c r="A48" s="169">
        <v>2</v>
      </c>
      <c r="B48" s="170" t="s">
        <v>18</v>
      </c>
      <c r="C48" s="171"/>
      <c r="D48" s="171"/>
      <c r="E48" s="5"/>
    </row>
    <row r="49" spans="1:5" ht="15.75" thickBot="1" x14ac:dyDescent="0.3">
      <c r="A49" s="172" t="s">
        <v>2</v>
      </c>
      <c r="B49" s="172" t="s">
        <v>316</v>
      </c>
      <c r="C49" s="172" t="s">
        <v>317</v>
      </c>
      <c r="D49" s="172" t="s">
        <v>318</v>
      </c>
      <c r="E49" s="5"/>
    </row>
    <row r="50" spans="1:5" x14ac:dyDescent="0.25">
      <c r="A50" s="184" t="s">
        <v>19</v>
      </c>
      <c r="B50" s="185" t="str">
        <f>ORÇAMENTO!D27</f>
        <v>TRANSPORTE DE ENTULHO EM CAMINHÃO SEM CARGA</v>
      </c>
      <c r="C50" s="186" t="s">
        <v>63</v>
      </c>
      <c r="D50" s="182" t="s">
        <v>337</v>
      </c>
      <c r="E50" s="5"/>
    </row>
    <row r="51" spans="1:5" x14ac:dyDescent="0.25">
      <c r="A51" s="187" t="s">
        <v>367</v>
      </c>
      <c r="B51" s="181" t="s">
        <v>338</v>
      </c>
      <c r="C51" s="182" t="s">
        <v>108</v>
      </c>
      <c r="D51" s="183">
        <v>0.15</v>
      </c>
      <c r="E51" s="5"/>
    </row>
    <row r="52" spans="1:5" x14ac:dyDescent="0.25">
      <c r="A52" s="176" t="s">
        <v>368</v>
      </c>
      <c r="B52" s="181" t="s">
        <v>1139</v>
      </c>
      <c r="C52" s="192" t="s">
        <v>195</v>
      </c>
      <c r="D52" s="193">
        <f>D19</f>
        <v>4520.6000000000004</v>
      </c>
      <c r="E52" s="5"/>
    </row>
    <row r="53" spans="1:5" ht="15.75" thickBot="1" x14ac:dyDescent="0.3">
      <c r="A53" s="516" t="s">
        <v>471</v>
      </c>
      <c r="B53" s="517"/>
      <c r="C53" s="518"/>
      <c r="D53" s="179">
        <f>D52*D51</f>
        <v>678.09</v>
      </c>
      <c r="E53" s="5"/>
    </row>
    <row r="54" spans="1:5" x14ac:dyDescent="0.25">
      <c r="A54" s="184" t="s">
        <v>292</v>
      </c>
      <c r="B54" s="185" t="s">
        <v>335</v>
      </c>
      <c r="C54" s="186" t="s">
        <v>63</v>
      </c>
      <c r="D54" s="182" t="s">
        <v>336</v>
      </c>
      <c r="E54" s="5"/>
    </row>
    <row r="55" spans="1:5" x14ac:dyDescent="0.25">
      <c r="A55" s="187" t="s">
        <v>367</v>
      </c>
      <c r="B55" s="181" t="s">
        <v>469</v>
      </c>
      <c r="C55" s="186" t="s">
        <v>334</v>
      </c>
      <c r="D55" s="183">
        <v>7</v>
      </c>
      <c r="E55" s="5"/>
    </row>
    <row r="56" spans="1:5" x14ac:dyDescent="0.25">
      <c r="A56" s="176" t="s">
        <v>368</v>
      </c>
      <c r="B56" s="181" t="str">
        <f>B43</f>
        <v>Área construída: conforme item 1.4</v>
      </c>
      <c r="C56" s="192" t="s">
        <v>195</v>
      </c>
      <c r="D56" s="193">
        <f>D28</f>
        <v>1043.0999999999999</v>
      </c>
      <c r="E56" s="5"/>
    </row>
    <row r="57" spans="1:5" ht="15.75" thickBot="1" x14ac:dyDescent="0.3">
      <c r="A57" s="516" t="s">
        <v>471</v>
      </c>
      <c r="B57" s="517"/>
      <c r="C57" s="518"/>
      <c r="D57" s="179">
        <f>(D56*D55)/100</f>
        <v>73.016999999999996</v>
      </c>
      <c r="E57" s="5"/>
    </row>
    <row r="58" spans="1:5" ht="15.75" thickBot="1" x14ac:dyDescent="0.3">
      <c r="A58" s="169">
        <v>3</v>
      </c>
      <c r="B58" s="170" t="s">
        <v>339</v>
      </c>
      <c r="C58" s="171"/>
      <c r="D58" s="171"/>
      <c r="E58" s="5"/>
    </row>
    <row r="59" spans="1:5" ht="15.75" thickBot="1" x14ac:dyDescent="0.3">
      <c r="A59" s="172" t="s">
        <v>2</v>
      </c>
      <c r="B59" s="172" t="s">
        <v>316</v>
      </c>
      <c r="C59" s="172" t="s">
        <v>317</v>
      </c>
      <c r="D59" s="172" t="s">
        <v>318</v>
      </c>
      <c r="E59" s="5"/>
    </row>
    <row r="60" spans="1:5" x14ac:dyDescent="0.25">
      <c r="A60" s="184" t="s">
        <v>54</v>
      </c>
      <c r="B60" s="185" t="str">
        <f>ORÇAMENTO!D32</f>
        <v>ARGILA OU BARRO PARA ATERRO/REATERRO (COM TRANSPORTE ATÉ 10 KM)</v>
      </c>
      <c r="C60" s="186" t="s">
        <v>63</v>
      </c>
      <c r="D60" s="182" t="s">
        <v>470</v>
      </c>
      <c r="E60" s="5"/>
    </row>
    <row r="61" spans="1:5" x14ac:dyDescent="0.25">
      <c r="A61" s="187" t="s">
        <v>367</v>
      </c>
      <c r="B61" s="181" t="s">
        <v>342</v>
      </c>
      <c r="C61" s="182" t="s">
        <v>195</v>
      </c>
      <c r="D61" s="183">
        <f>D19</f>
        <v>4520.6000000000004</v>
      </c>
      <c r="E61" s="5"/>
    </row>
    <row r="62" spans="1:5" x14ac:dyDescent="0.25">
      <c r="A62" s="176" t="s">
        <v>368</v>
      </c>
      <c r="B62" s="181" t="s">
        <v>343</v>
      </c>
      <c r="C62" s="192" t="s">
        <v>108</v>
      </c>
      <c r="D62" s="193">
        <v>0.1</v>
      </c>
      <c r="E62" s="5"/>
    </row>
    <row r="63" spans="1:5" ht="15.75" thickBot="1" x14ac:dyDescent="0.3">
      <c r="A63" s="516" t="s">
        <v>374</v>
      </c>
      <c r="B63" s="517"/>
      <c r="C63" s="518"/>
      <c r="D63" s="179">
        <f>D61*D62</f>
        <v>452.06000000000006</v>
      </c>
      <c r="E63" s="5"/>
    </row>
    <row r="64" spans="1:5" s="91" customFormat="1" ht="42" customHeight="1" x14ac:dyDescent="0.25">
      <c r="A64" s="196" t="s">
        <v>55</v>
      </c>
      <c r="B64" s="197" t="str">
        <f>ORÇAMENTO!D33</f>
        <v xml:space="preserve">ESCAVACAO MANUAL DE VALAS &lt; 1 MTS. (OBRAS CIVIS) </v>
      </c>
      <c r="C64" s="198" t="s">
        <v>63</v>
      </c>
      <c r="D64" s="199" t="s">
        <v>340</v>
      </c>
    </row>
    <row r="65" spans="1:5" x14ac:dyDescent="0.25">
      <c r="A65" s="176" t="s">
        <v>367</v>
      </c>
      <c r="B65" s="181" t="s">
        <v>341</v>
      </c>
      <c r="C65" s="182" t="s">
        <v>108</v>
      </c>
      <c r="D65" s="200">
        <v>835.71</v>
      </c>
      <c r="E65" s="5"/>
    </row>
    <row r="66" spans="1:5" x14ac:dyDescent="0.25">
      <c r="A66" s="187" t="s">
        <v>368</v>
      </c>
      <c r="B66" s="181" t="s">
        <v>344</v>
      </c>
      <c r="C66" s="192" t="s">
        <v>195</v>
      </c>
      <c r="D66" s="193">
        <f>(0.43*0.4)</f>
        <v>0.17200000000000001</v>
      </c>
      <c r="E66" s="5"/>
    </row>
    <row r="67" spans="1:5" ht="15.75" thickBot="1" x14ac:dyDescent="0.3">
      <c r="A67" s="522" t="s">
        <v>374</v>
      </c>
      <c r="B67" s="523"/>
      <c r="C67" s="524"/>
      <c r="D67" s="179">
        <f>D66*D65</f>
        <v>143.74212000000003</v>
      </c>
      <c r="E67" s="5"/>
    </row>
    <row r="68" spans="1:5" x14ac:dyDescent="0.25">
      <c r="A68" s="184" t="str">
        <f>ORÇAMENTO!A34</f>
        <v>3.3</v>
      </c>
      <c r="B68" s="185" t="str">
        <f>ORÇAMENTO!D34</f>
        <v>REATERRO COM APILOAMENTO</v>
      </c>
      <c r="C68" s="186" t="str">
        <f>ORÇAMENTO!F34</f>
        <v>m3</v>
      </c>
      <c r="D68" s="182" t="s">
        <v>1302</v>
      </c>
      <c r="E68" s="5"/>
    </row>
    <row r="69" spans="1:5" x14ac:dyDescent="0.25">
      <c r="A69" s="184"/>
      <c r="B69" s="181" t="s">
        <v>341</v>
      </c>
      <c r="C69" s="182" t="s">
        <v>108</v>
      </c>
      <c r="D69" s="183">
        <f>D65</f>
        <v>835.71</v>
      </c>
      <c r="E69" s="5"/>
    </row>
    <row r="70" spans="1:5" x14ac:dyDescent="0.25">
      <c r="A70" s="176"/>
      <c r="B70" s="201" t="s">
        <v>1137</v>
      </c>
      <c r="C70" s="182" t="s">
        <v>195</v>
      </c>
      <c r="D70" s="183">
        <v>0.12</v>
      </c>
      <c r="E70" s="5"/>
    </row>
    <row r="71" spans="1:5" s="42" customFormat="1" ht="15.75" thickBot="1" x14ac:dyDescent="0.3">
      <c r="A71" s="516" t="s">
        <v>43</v>
      </c>
      <c r="B71" s="517"/>
      <c r="C71" s="518"/>
      <c r="D71" s="179">
        <f>D69*D70</f>
        <v>100.2852</v>
      </c>
    </row>
    <row r="72" spans="1:5" x14ac:dyDescent="0.25">
      <c r="A72" s="184" t="str">
        <f>ORÇAMENTO!A35</f>
        <v>3.4</v>
      </c>
      <c r="B72" s="185" t="s">
        <v>345</v>
      </c>
      <c r="C72" s="186" t="s">
        <v>195</v>
      </c>
      <c r="D72" s="182" t="s">
        <v>1303</v>
      </c>
      <c r="E72" s="5"/>
    </row>
    <row r="73" spans="1:5" x14ac:dyDescent="0.25">
      <c r="A73" s="176"/>
      <c r="B73" s="181" t="str">
        <f>B56</f>
        <v>Área construída: conforme item 1.4</v>
      </c>
      <c r="C73" s="182" t="s">
        <v>195</v>
      </c>
      <c r="D73" s="183">
        <f>D28</f>
        <v>1043.0999999999999</v>
      </c>
      <c r="E73" s="5"/>
    </row>
    <row r="74" spans="1:5" x14ac:dyDescent="0.25">
      <c r="A74" s="176"/>
      <c r="B74" s="195" t="s">
        <v>1141</v>
      </c>
      <c r="C74" s="182" t="s">
        <v>195</v>
      </c>
      <c r="D74" s="193">
        <f>D893+D899</f>
        <v>525.01</v>
      </c>
      <c r="E74" s="5"/>
    </row>
    <row r="75" spans="1:5" s="42" customFormat="1" ht="15.75" thickBot="1" x14ac:dyDescent="0.3">
      <c r="A75" s="516" t="s">
        <v>43</v>
      </c>
      <c r="B75" s="517"/>
      <c r="C75" s="518"/>
      <c r="D75" s="179">
        <f>SUM(D73:D74)</f>
        <v>1568.11</v>
      </c>
    </row>
    <row r="76" spans="1:5" x14ac:dyDescent="0.25">
      <c r="A76" s="184" t="str">
        <f>ORÇAMENTO!A36</f>
        <v>3.5</v>
      </c>
      <c r="B76" s="185" t="s">
        <v>346</v>
      </c>
      <c r="C76" s="186" t="s">
        <v>195</v>
      </c>
      <c r="D76" s="182" t="s">
        <v>347</v>
      </c>
      <c r="E76" s="5"/>
    </row>
    <row r="77" spans="1:5" x14ac:dyDescent="0.25">
      <c r="A77" s="176"/>
      <c r="B77" s="181" t="s">
        <v>1139</v>
      </c>
      <c r="C77" s="182" t="s">
        <v>195</v>
      </c>
      <c r="D77" s="183">
        <f>D19</f>
        <v>4520.6000000000004</v>
      </c>
      <c r="E77" s="5"/>
    </row>
    <row r="78" spans="1:5" ht="15.75" thickBot="1" x14ac:dyDescent="0.3">
      <c r="A78" s="516" t="s">
        <v>43</v>
      </c>
      <c r="B78" s="517"/>
      <c r="C78" s="518"/>
      <c r="D78" s="179">
        <f>D77</f>
        <v>4520.6000000000004</v>
      </c>
      <c r="E78" s="5"/>
    </row>
    <row r="79" spans="1:5" ht="15.75" thickBot="1" x14ac:dyDescent="0.3">
      <c r="A79" s="169">
        <v>4</v>
      </c>
      <c r="B79" s="170" t="s">
        <v>348</v>
      </c>
      <c r="C79" s="171"/>
      <c r="D79" s="171"/>
      <c r="E79" s="5"/>
    </row>
    <row r="80" spans="1:5" ht="15.75" thickBot="1" x14ac:dyDescent="0.3">
      <c r="A80" s="172" t="s">
        <v>2</v>
      </c>
      <c r="B80" s="172" t="s">
        <v>316</v>
      </c>
      <c r="C80" s="172" t="s">
        <v>317</v>
      </c>
      <c r="D80" s="172" t="s">
        <v>318</v>
      </c>
      <c r="E80" s="5"/>
    </row>
    <row r="81" spans="1:5" s="42" customFormat="1" ht="24" x14ac:dyDescent="0.25">
      <c r="A81" s="202" t="str">
        <f>ORÇAMENTO!A40</f>
        <v>4.1</v>
      </c>
      <c r="B81" s="203" t="str">
        <f>ORÇAMENTO!D40</f>
        <v xml:space="preserve">ESTACA A TRADO DIAM.30 CM SEM FERRO </v>
      </c>
      <c r="C81" s="204" t="s">
        <v>108</v>
      </c>
      <c r="D81" s="205" t="s">
        <v>349</v>
      </c>
    </row>
    <row r="82" spans="1:5" x14ac:dyDescent="0.25">
      <c r="A82" s="176" t="s">
        <v>367</v>
      </c>
      <c r="B82" s="181" t="s">
        <v>350</v>
      </c>
      <c r="C82" s="182" t="s">
        <v>108</v>
      </c>
      <c r="D82" s="200">
        <v>5</v>
      </c>
      <c r="E82" s="5"/>
    </row>
    <row r="83" spans="1:5" x14ac:dyDescent="0.25">
      <c r="A83" s="176" t="s">
        <v>368</v>
      </c>
      <c r="B83" s="181" t="s">
        <v>1142</v>
      </c>
      <c r="C83" s="182" t="s">
        <v>278</v>
      </c>
      <c r="D83" s="200">
        <v>180</v>
      </c>
      <c r="E83" s="5"/>
    </row>
    <row r="84" spans="1:5" x14ac:dyDescent="0.25">
      <c r="A84" s="176" t="s">
        <v>369</v>
      </c>
      <c r="B84" s="181" t="s">
        <v>1341</v>
      </c>
      <c r="C84" s="182" t="s">
        <v>278</v>
      </c>
      <c r="D84" s="200">
        <v>2</v>
      </c>
      <c r="E84" s="5"/>
    </row>
    <row r="85" spans="1:5" ht="15.75" thickBot="1" x14ac:dyDescent="0.3">
      <c r="A85" s="516" t="s">
        <v>1309</v>
      </c>
      <c r="B85" s="517"/>
      <c r="C85" s="518"/>
      <c r="D85" s="179">
        <f>(D83+D84)*D82</f>
        <v>910</v>
      </c>
      <c r="E85" s="5"/>
    </row>
    <row r="86" spans="1:5" s="42" customFormat="1" x14ac:dyDescent="0.25">
      <c r="A86" s="202" t="str">
        <f>ORÇAMENTO!A41</f>
        <v>4.2</v>
      </c>
      <c r="B86" s="203" t="str">
        <f>ORÇAMENTO!D41</f>
        <v xml:space="preserve">ESCAVACAO MANUAL DE VALAS (SAPATAS/BLOCOS) </v>
      </c>
      <c r="C86" s="204" t="s">
        <v>63</v>
      </c>
      <c r="D86" s="205" t="s">
        <v>351</v>
      </c>
    </row>
    <row r="87" spans="1:5" x14ac:dyDescent="0.25">
      <c r="A87" s="176" t="s">
        <v>367</v>
      </c>
      <c r="B87" s="181" t="s">
        <v>1144</v>
      </c>
      <c r="C87" s="182" t="s">
        <v>63</v>
      </c>
      <c r="D87" s="200">
        <f>(1.5*0.6*0.6)</f>
        <v>0.53999999999999992</v>
      </c>
      <c r="E87" s="5"/>
    </row>
    <row r="88" spans="1:5" x14ac:dyDescent="0.25">
      <c r="A88" s="176" t="s">
        <v>368</v>
      </c>
      <c r="B88" s="181" t="s">
        <v>49</v>
      </c>
      <c r="C88" s="182" t="s">
        <v>278</v>
      </c>
      <c r="D88" s="200">
        <v>13</v>
      </c>
      <c r="E88" s="5"/>
    </row>
    <row r="89" spans="1:5" x14ac:dyDescent="0.25">
      <c r="A89" s="176" t="s">
        <v>369</v>
      </c>
      <c r="B89" s="181" t="s">
        <v>1145</v>
      </c>
      <c r="C89" s="182" t="s">
        <v>63</v>
      </c>
      <c r="D89" s="205">
        <f>0.6*0.6*0.55</f>
        <v>0.19800000000000001</v>
      </c>
      <c r="E89" s="5"/>
    </row>
    <row r="90" spans="1:5" x14ac:dyDescent="0.25">
      <c r="A90" s="176" t="s">
        <v>377</v>
      </c>
      <c r="B90" s="181" t="s">
        <v>49</v>
      </c>
      <c r="C90" s="182" t="s">
        <v>278</v>
      </c>
      <c r="D90" s="200">
        <v>154</v>
      </c>
      <c r="E90" s="5"/>
    </row>
    <row r="91" spans="1:5" x14ac:dyDescent="0.25">
      <c r="A91" s="176" t="s">
        <v>1046</v>
      </c>
      <c r="B91" s="181" t="s">
        <v>1143</v>
      </c>
      <c r="C91" s="182" t="s">
        <v>63</v>
      </c>
      <c r="D91" s="200">
        <v>0.56000000000000005</v>
      </c>
      <c r="E91" s="5"/>
    </row>
    <row r="92" spans="1:5" ht="15.75" thickBot="1" x14ac:dyDescent="0.3">
      <c r="A92" s="516" t="s">
        <v>1308</v>
      </c>
      <c r="B92" s="517"/>
      <c r="C92" s="518"/>
      <c r="D92" s="179">
        <f>(D87*D88)+(D89*D90)+D91</f>
        <v>38.072000000000003</v>
      </c>
      <c r="E92" s="5"/>
    </row>
    <row r="93" spans="1:5" s="42" customFormat="1" x14ac:dyDescent="0.25">
      <c r="A93" s="202" t="str">
        <f>ORÇAMENTO!A42</f>
        <v>4.3</v>
      </c>
      <c r="B93" s="203" t="s">
        <v>352</v>
      </c>
      <c r="C93" s="204" t="s">
        <v>195</v>
      </c>
      <c r="D93" s="205" t="s">
        <v>353</v>
      </c>
    </row>
    <row r="94" spans="1:5" x14ac:dyDescent="0.25">
      <c r="A94" s="176" t="s">
        <v>367</v>
      </c>
      <c r="B94" s="181" t="s">
        <v>1304</v>
      </c>
      <c r="C94" s="182" t="s">
        <v>195</v>
      </c>
      <c r="D94" s="200">
        <f>(1.5*0.6)</f>
        <v>0.89999999999999991</v>
      </c>
      <c r="E94" s="5"/>
    </row>
    <row r="95" spans="1:5" x14ac:dyDescent="0.25">
      <c r="A95" s="176" t="s">
        <v>368</v>
      </c>
      <c r="B95" s="181" t="s">
        <v>49</v>
      </c>
      <c r="C95" s="182" t="s">
        <v>278</v>
      </c>
      <c r="D95" s="200">
        <v>13</v>
      </c>
      <c r="E95" s="5"/>
    </row>
    <row r="96" spans="1:5" x14ac:dyDescent="0.25">
      <c r="A96" s="176" t="s">
        <v>369</v>
      </c>
      <c r="B96" s="181" t="s">
        <v>1305</v>
      </c>
      <c r="C96" s="182" t="s">
        <v>195</v>
      </c>
      <c r="D96" s="205">
        <v>0.36</v>
      </c>
      <c r="E96" s="5"/>
    </row>
    <row r="97" spans="1:5" x14ac:dyDescent="0.25">
      <c r="A97" s="176" t="s">
        <v>377</v>
      </c>
      <c r="B97" s="181" t="s">
        <v>49</v>
      </c>
      <c r="C97" s="182" t="s">
        <v>278</v>
      </c>
      <c r="D97" s="200">
        <v>154</v>
      </c>
      <c r="E97" s="5"/>
    </row>
    <row r="98" spans="1:5" x14ac:dyDescent="0.25">
      <c r="A98" s="176" t="s">
        <v>1046</v>
      </c>
      <c r="B98" s="181" t="s">
        <v>1306</v>
      </c>
      <c r="C98" s="182" t="s">
        <v>195</v>
      </c>
      <c r="D98" s="200">
        <f>3.1*0.6</f>
        <v>1.8599999999999999</v>
      </c>
      <c r="E98" s="5"/>
    </row>
    <row r="99" spans="1:5" ht="15.75" thickBot="1" x14ac:dyDescent="0.3">
      <c r="A99" s="516" t="s">
        <v>1307</v>
      </c>
      <c r="B99" s="517"/>
      <c r="C99" s="518"/>
      <c r="D99" s="179">
        <f>(D94*D95)+(D96*D97)+D98</f>
        <v>69</v>
      </c>
      <c r="E99" s="5"/>
    </row>
    <row r="100" spans="1:5" s="42" customFormat="1" x14ac:dyDescent="0.25">
      <c r="A100" s="202" t="str">
        <f>ORÇAMENTO!A43</f>
        <v>4.4</v>
      </c>
      <c r="B100" s="203" t="str">
        <f>ORÇAMENTO!D43</f>
        <v>LASTRO DE BRITA (OBRAS CIVIS)</v>
      </c>
      <c r="C100" s="204" t="s">
        <v>195</v>
      </c>
      <c r="D100" s="205" t="s">
        <v>1310</v>
      </c>
    </row>
    <row r="101" spans="1:5" x14ac:dyDescent="0.25">
      <c r="A101" s="193"/>
      <c r="B101" s="206" t="s">
        <v>1049</v>
      </c>
      <c r="C101" s="193" t="s">
        <v>195</v>
      </c>
      <c r="D101" s="200">
        <f>D99</f>
        <v>69</v>
      </c>
      <c r="E101" s="5"/>
    </row>
    <row r="102" spans="1:5" x14ac:dyDescent="0.25">
      <c r="A102" s="193"/>
      <c r="B102" s="181" t="s">
        <v>1050</v>
      </c>
      <c r="C102" s="193" t="s">
        <v>108</v>
      </c>
      <c r="D102" s="207">
        <v>0.05</v>
      </c>
      <c r="E102" s="5"/>
    </row>
    <row r="103" spans="1:5" ht="15.75" thickBot="1" x14ac:dyDescent="0.3">
      <c r="A103" s="516" t="s">
        <v>43</v>
      </c>
      <c r="B103" s="517"/>
      <c r="C103" s="518"/>
      <c r="D103" s="179">
        <f>D101*D102</f>
        <v>3.45</v>
      </c>
      <c r="E103" s="5"/>
    </row>
    <row r="104" spans="1:5" s="42" customFormat="1" x14ac:dyDescent="0.25">
      <c r="A104" s="202" t="str">
        <f>ORÇAMENTO!A44</f>
        <v>4.5</v>
      </c>
      <c r="B104" s="203" t="str">
        <f>ORÇAMENTO!D44</f>
        <v xml:space="preserve">FORMA TABUA PINHO P/FUNDACOES U=3V - (OBRAS CIVIS) </v>
      </c>
      <c r="C104" s="204" t="s">
        <v>195</v>
      </c>
      <c r="D104" s="205" t="s">
        <v>354</v>
      </c>
    </row>
    <row r="105" spans="1:5" x14ac:dyDescent="0.25">
      <c r="A105" s="193"/>
      <c r="B105" s="206" t="s">
        <v>416</v>
      </c>
      <c r="C105" s="193" t="s">
        <v>195</v>
      </c>
      <c r="D105" s="200">
        <v>736.49</v>
      </c>
      <c r="E105" s="5"/>
    </row>
    <row r="106" spans="1:5" x14ac:dyDescent="0.25">
      <c r="A106" s="193"/>
      <c r="B106" s="181" t="s">
        <v>1043</v>
      </c>
      <c r="C106" s="193" t="s">
        <v>195</v>
      </c>
      <c r="D106" s="207">
        <f>234.41+(3.1*0.3*2)+(0.6*0.3*2)+(1.5*0.4*4)</f>
        <v>239.03000000000003</v>
      </c>
      <c r="E106" s="5"/>
    </row>
    <row r="107" spans="1:5" ht="15.75" thickBot="1" x14ac:dyDescent="0.3">
      <c r="A107" s="516" t="s">
        <v>43</v>
      </c>
      <c r="B107" s="517"/>
      <c r="C107" s="518"/>
      <c r="D107" s="179">
        <f>SUM(D105:D106)</f>
        <v>975.52</v>
      </c>
      <c r="E107" s="5"/>
    </row>
    <row r="108" spans="1:5" s="42" customFormat="1" ht="24" x14ac:dyDescent="0.25">
      <c r="A108" s="202" t="str">
        <f>ORÇAMENTO!A45</f>
        <v>4.6</v>
      </c>
      <c r="B108" s="203" t="str">
        <f>ORÇAMENTO!D45</f>
        <v xml:space="preserve">PREPARO COM BETONEIRA E TRANSPORTE MANUAL DE CONCRETO FCK-20 - (O.C.) </v>
      </c>
      <c r="C108" s="204" t="s">
        <v>63</v>
      </c>
      <c r="D108" s="205" t="s">
        <v>355</v>
      </c>
    </row>
    <row r="109" spans="1:5" x14ac:dyDescent="0.25">
      <c r="A109" s="193"/>
      <c r="B109" s="206" t="s">
        <v>419</v>
      </c>
      <c r="C109" s="193" t="s">
        <v>63</v>
      </c>
      <c r="D109" s="207">
        <f>37.51+D92+D91</f>
        <v>76.141999999999996</v>
      </c>
      <c r="E109" s="5"/>
    </row>
    <row r="110" spans="1:5" x14ac:dyDescent="0.25">
      <c r="A110" s="193"/>
      <c r="B110" s="206" t="s">
        <v>1030</v>
      </c>
      <c r="C110" s="193" t="s">
        <v>63</v>
      </c>
      <c r="D110" s="207">
        <v>43.9</v>
      </c>
      <c r="E110" s="5"/>
    </row>
    <row r="111" spans="1:5" ht="15.75" thickBot="1" x14ac:dyDescent="0.3">
      <c r="A111" s="516" t="s">
        <v>43</v>
      </c>
      <c r="B111" s="517"/>
      <c r="C111" s="518"/>
      <c r="D111" s="179">
        <f>SUM(D109:D110)</f>
        <v>120.042</v>
      </c>
      <c r="E111" s="5"/>
    </row>
    <row r="112" spans="1:5" s="42" customFormat="1" x14ac:dyDescent="0.25">
      <c r="A112" s="202" t="str">
        <f>ORÇAMENTO!A46</f>
        <v>4.7</v>
      </c>
      <c r="B112" s="203" t="str">
        <f>ORÇAMENTO!D46</f>
        <v xml:space="preserve">LANÇAMENTO/APLICAÇÃO/ADENSAMENTO DE CONCRETO EM FUNDAÇÃO- (O.C.) </v>
      </c>
      <c r="C112" s="204" t="s">
        <v>63</v>
      </c>
      <c r="D112" s="205" t="s">
        <v>415</v>
      </c>
    </row>
    <row r="113" spans="1:5" x14ac:dyDescent="0.25">
      <c r="A113" s="193"/>
      <c r="B113" s="206" t="s">
        <v>419</v>
      </c>
      <c r="C113" s="193" t="s">
        <v>63</v>
      </c>
      <c r="D113" s="207">
        <f>D109</f>
        <v>76.141999999999996</v>
      </c>
      <c r="E113" s="5"/>
    </row>
    <row r="114" spans="1:5" x14ac:dyDescent="0.25">
      <c r="A114" s="193"/>
      <c r="B114" s="206" t="s">
        <v>1030</v>
      </c>
      <c r="C114" s="193" t="s">
        <v>63</v>
      </c>
      <c r="D114" s="207">
        <f>D110</f>
        <v>43.9</v>
      </c>
      <c r="E114" s="5"/>
    </row>
    <row r="115" spans="1:5" ht="15.75" thickBot="1" x14ac:dyDescent="0.3">
      <c r="A115" s="516" t="s">
        <v>43</v>
      </c>
      <c r="B115" s="517"/>
      <c r="C115" s="518"/>
      <c r="D115" s="179">
        <f>SUM(D113:D114)</f>
        <v>120.042</v>
      </c>
      <c r="E115" s="5"/>
    </row>
    <row r="116" spans="1:5" s="42" customFormat="1" x14ac:dyDescent="0.25">
      <c r="A116" s="202" t="str">
        <f>ORÇAMENTO!A47</f>
        <v>4.8</v>
      </c>
      <c r="B116" s="203" t="s">
        <v>417</v>
      </c>
      <c r="C116" s="208" t="s">
        <v>279</v>
      </c>
      <c r="D116" s="207" t="s">
        <v>1311</v>
      </c>
    </row>
    <row r="117" spans="1:5" x14ac:dyDescent="0.25">
      <c r="A117" s="193"/>
      <c r="B117" s="206" t="s">
        <v>419</v>
      </c>
      <c r="C117" s="193" t="s">
        <v>108</v>
      </c>
      <c r="D117" s="207">
        <v>591.79999999999995</v>
      </c>
      <c r="E117" s="5"/>
    </row>
    <row r="118" spans="1:5" x14ac:dyDescent="0.25">
      <c r="A118" s="193"/>
      <c r="B118" s="206" t="s">
        <v>1023</v>
      </c>
      <c r="C118" s="193" t="s">
        <v>108</v>
      </c>
      <c r="D118" s="207">
        <v>3330.5</v>
      </c>
      <c r="E118" s="5"/>
    </row>
    <row r="119" spans="1:5" x14ac:dyDescent="0.25">
      <c r="A119" s="193"/>
      <c r="B119" s="206" t="s">
        <v>418</v>
      </c>
      <c r="C119" s="193" t="s">
        <v>108</v>
      </c>
      <c r="D119" s="207">
        <f>(D83+D84)*(3/0.2)*0.93</f>
        <v>2538.9</v>
      </c>
      <c r="E119" s="5"/>
    </row>
    <row r="120" spans="1:5" x14ac:dyDescent="0.25">
      <c r="A120" s="193"/>
      <c r="B120" s="181" t="s">
        <v>356</v>
      </c>
      <c r="C120" s="193" t="s">
        <v>357</v>
      </c>
      <c r="D120" s="209">
        <v>0.154</v>
      </c>
      <c r="E120" s="5"/>
    </row>
    <row r="121" spans="1:5" ht="15.75" thickBot="1" x14ac:dyDescent="0.3">
      <c r="A121" s="516" t="s">
        <v>43</v>
      </c>
      <c r="B121" s="517"/>
      <c r="C121" s="518"/>
      <c r="D121" s="179">
        <f>SUM(D117:D119)*D120</f>
        <v>995.02480000000014</v>
      </c>
      <c r="E121" s="5"/>
    </row>
    <row r="122" spans="1:5" s="42" customFormat="1" x14ac:dyDescent="0.25">
      <c r="A122" s="202" t="str">
        <f>ORÇAMENTO!A48</f>
        <v>4.9</v>
      </c>
      <c r="B122" s="203" t="str">
        <f>ORÇAMENTO!D48</f>
        <v>ACO CA-50A - 6,3 MM (1/4") - (OBRAS CIVIS)</v>
      </c>
      <c r="C122" s="208" t="s">
        <v>279</v>
      </c>
      <c r="D122" s="207" t="s">
        <v>1311</v>
      </c>
    </row>
    <row r="123" spans="1:5" x14ac:dyDescent="0.25">
      <c r="A123" s="193"/>
      <c r="B123" s="206" t="s">
        <v>419</v>
      </c>
      <c r="C123" s="193" t="s">
        <v>108</v>
      </c>
      <c r="D123" s="207">
        <v>2441.9</v>
      </c>
      <c r="E123" s="5"/>
    </row>
    <row r="124" spans="1:5" x14ac:dyDescent="0.25">
      <c r="A124" s="193"/>
      <c r="B124" s="206" t="s">
        <v>1023</v>
      </c>
      <c r="C124" s="193" t="s">
        <v>108</v>
      </c>
      <c r="D124" s="207">
        <v>3</v>
      </c>
      <c r="E124" s="5"/>
    </row>
    <row r="125" spans="1:5" x14ac:dyDescent="0.25">
      <c r="A125" s="193"/>
      <c r="B125" s="181" t="s">
        <v>356</v>
      </c>
      <c r="C125" s="193" t="s">
        <v>357</v>
      </c>
      <c r="D125" s="209">
        <v>0.245</v>
      </c>
      <c r="E125" s="5"/>
    </row>
    <row r="126" spans="1:5" ht="15.75" thickBot="1" x14ac:dyDescent="0.3">
      <c r="A126" s="516" t="s">
        <v>43</v>
      </c>
      <c r="B126" s="517"/>
      <c r="C126" s="518"/>
      <c r="D126" s="179">
        <f>SUM(D123:D124)*D125</f>
        <v>599.00049999999999</v>
      </c>
      <c r="E126" s="5"/>
    </row>
    <row r="127" spans="1:5" s="42" customFormat="1" x14ac:dyDescent="0.25">
      <c r="A127" s="202" t="str">
        <f>ORÇAMENTO!A49</f>
        <v>4.10</v>
      </c>
      <c r="B127" s="203" t="str">
        <f>ORÇAMENTO!D49</f>
        <v xml:space="preserve">ACO CA 50-A - 8,0 MM (5/16") - (OBRAS CIVIS) </v>
      </c>
      <c r="C127" s="208" t="s">
        <v>279</v>
      </c>
      <c r="D127" s="207" t="s">
        <v>1311</v>
      </c>
    </row>
    <row r="128" spans="1:5" x14ac:dyDescent="0.25">
      <c r="A128" s="210"/>
      <c r="B128" s="211" t="s">
        <v>419</v>
      </c>
      <c r="C128" s="207" t="s">
        <v>108</v>
      </c>
      <c r="D128" s="193">
        <f>127.9+89.32+58.8</f>
        <v>276.02</v>
      </c>
      <c r="E128" s="5"/>
    </row>
    <row r="129" spans="1:5" x14ac:dyDescent="0.25">
      <c r="A129" s="193"/>
      <c r="B129" s="206" t="s">
        <v>1023</v>
      </c>
      <c r="C129" s="193" t="s">
        <v>108</v>
      </c>
      <c r="D129" s="207">
        <v>3248.7</v>
      </c>
      <c r="E129" s="5"/>
    </row>
    <row r="130" spans="1:5" x14ac:dyDescent="0.25">
      <c r="A130" s="193"/>
      <c r="B130" s="181" t="s">
        <v>356</v>
      </c>
      <c r="C130" s="193" t="s">
        <v>357</v>
      </c>
      <c r="D130" s="209">
        <v>0.39500000000000002</v>
      </c>
      <c r="E130" s="5"/>
    </row>
    <row r="131" spans="1:5" ht="15.75" thickBot="1" x14ac:dyDescent="0.3">
      <c r="A131" s="516" t="s">
        <v>43</v>
      </c>
      <c r="B131" s="517"/>
      <c r="C131" s="518"/>
      <c r="D131" s="179">
        <f>SUM(D128:D129)*D130</f>
        <v>1392.2644</v>
      </c>
      <c r="E131" s="5"/>
    </row>
    <row r="132" spans="1:5" s="42" customFormat="1" x14ac:dyDescent="0.25">
      <c r="A132" s="202" t="str">
        <f>ORÇAMENTO!A50</f>
        <v>4.11</v>
      </c>
      <c r="B132" s="203" t="str">
        <f>ORÇAMENTO!D50</f>
        <v>ACO CA-50A - 10,0 MM (3/8") - (OBRAS CIVIS)</v>
      </c>
      <c r="C132" s="208" t="s">
        <v>279</v>
      </c>
      <c r="D132" s="207" t="s">
        <v>1311</v>
      </c>
    </row>
    <row r="133" spans="1:5" s="90" customFormat="1" x14ac:dyDescent="0.25">
      <c r="A133" s="212"/>
      <c r="B133" s="213" t="s">
        <v>418</v>
      </c>
      <c r="C133" s="214" t="s">
        <v>108</v>
      </c>
      <c r="D133" s="214">
        <f>187*3*4</f>
        <v>2244</v>
      </c>
    </row>
    <row r="134" spans="1:5" x14ac:dyDescent="0.25">
      <c r="A134" s="193"/>
      <c r="B134" s="206" t="s">
        <v>1023</v>
      </c>
      <c r="C134" s="193" t="s">
        <v>108</v>
      </c>
      <c r="D134" s="207">
        <v>190.7</v>
      </c>
      <c r="E134" s="5"/>
    </row>
    <row r="135" spans="1:5" x14ac:dyDescent="0.25">
      <c r="A135" s="193"/>
      <c r="B135" s="181" t="s">
        <v>356</v>
      </c>
      <c r="C135" s="193" t="s">
        <v>357</v>
      </c>
      <c r="D135" s="209">
        <v>0.61699999999999999</v>
      </c>
      <c r="E135" s="5"/>
    </row>
    <row r="136" spans="1:5" ht="15.75" thickBot="1" x14ac:dyDescent="0.3">
      <c r="A136" s="516" t="s">
        <v>43</v>
      </c>
      <c r="B136" s="517"/>
      <c r="C136" s="518"/>
      <c r="D136" s="179">
        <f>SUM(D133:D134)*D135</f>
        <v>1502.2098999999998</v>
      </c>
      <c r="E136" s="5"/>
    </row>
    <row r="137" spans="1:5" s="42" customFormat="1" x14ac:dyDescent="0.25">
      <c r="A137" s="202" t="str">
        <f>ORÇAMENTO!A51</f>
        <v>4.12</v>
      </c>
      <c r="B137" s="203" t="str">
        <f>ORÇAMENTO!D51</f>
        <v>ACO CA 50-A - 12,5 MM (1/2") - (OBRAS CIVIS)</v>
      </c>
      <c r="C137" s="208" t="s">
        <v>279</v>
      </c>
      <c r="D137" s="207" t="s">
        <v>1311</v>
      </c>
    </row>
    <row r="138" spans="1:5" x14ac:dyDescent="0.25">
      <c r="A138" s="193"/>
      <c r="B138" s="206" t="s">
        <v>1023</v>
      </c>
      <c r="C138" s="193" t="s">
        <v>108</v>
      </c>
      <c r="D138" s="207">
        <f>153.8/1.1</f>
        <v>139.81818181818181</v>
      </c>
      <c r="E138" s="5"/>
    </row>
    <row r="139" spans="1:5" x14ac:dyDescent="0.25">
      <c r="A139" s="193"/>
      <c r="B139" s="181" t="s">
        <v>356</v>
      </c>
      <c r="C139" s="193" t="s">
        <v>357</v>
      </c>
      <c r="D139" s="209">
        <v>0.96299999999999997</v>
      </c>
      <c r="E139" s="5"/>
    </row>
    <row r="140" spans="1:5" ht="15.75" thickBot="1" x14ac:dyDescent="0.3">
      <c r="A140" s="516" t="s">
        <v>43</v>
      </c>
      <c r="B140" s="517"/>
      <c r="C140" s="518"/>
      <c r="D140" s="179">
        <f>SUM(D138:D138)*D139</f>
        <v>134.6449090909091</v>
      </c>
      <c r="E140" s="5"/>
    </row>
    <row r="141" spans="1:5" ht="15.75" thickBot="1" x14ac:dyDescent="0.3">
      <c r="A141" s="169">
        <v>5</v>
      </c>
      <c r="B141" s="170" t="s">
        <v>23</v>
      </c>
      <c r="C141" s="171"/>
      <c r="D141" s="171"/>
      <c r="E141" s="5"/>
    </row>
    <row r="142" spans="1:5" ht="15.75" thickBot="1" x14ac:dyDescent="0.3">
      <c r="A142" s="172" t="s">
        <v>2</v>
      </c>
      <c r="B142" s="172" t="s">
        <v>316</v>
      </c>
      <c r="C142" s="172" t="s">
        <v>317</v>
      </c>
      <c r="D142" s="172" t="s">
        <v>318</v>
      </c>
      <c r="E142" s="5"/>
    </row>
    <row r="143" spans="1:5" s="42" customFormat="1" x14ac:dyDescent="0.25">
      <c r="A143" s="202" t="str">
        <f>ORÇAMENTO!A55</f>
        <v>5.1</v>
      </c>
      <c r="B143" s="203" t="str">
        <f>ORÇAMENTO!D55</f>
        <v>VERGA/CONTRAVERGA EM CONCRETO ARMADO FCK = 20 MPA</v>
      </c>
      <c r="C143" s="208" t="s">
        <v>63</v>
      </c>
      <c r="D143" s="207" t="s">
        <v>420</v>
      </c>
    </row>
    <row r="144" spans="1:5" s="6" customFormat="1" x14ac:dyDescent="0.25">
      <c r="A144" s="215"/>
      <c r="B144" s="216" t="s">
        <v>1061</v>
      </c>
      <c r="C144" s="217"/>
      <c r="D144" s="214"/>
    </row>
    <row r="145" spans="1:5" x14ac:dyDescent="0.25">
      <c r="A145" s="193"/>
      <c r="B145" s="206" t="s">
        <v>1057</v>
      </c>
      <c r="C145" s="193" t="s">
        <v>63</v>
      </c>
      <c r="D145" s="207">
        <f>35*(1+0.2+0.2)*0.15*0.2</f>
        <v>1.47</v>
      </c>
      <c r="E145" s="5"/>
    </row>
    <row r="146" spans="1:5" x14ac:dyDescent="0.25">
      <c r="A146" s="193"/>
      <c r="B146" s="206" t="s">
        <v>1051</v>
      </c>
      <c r="C146" s="193" t="s">
        <v>63</v>
      </c>
      <c r="D146" s="207">
        <f>22*(0.8+0.2+0.2)*0.15*0.2</f>
        <v>0.79199999999999993</v>
      </c>
      <c r="E146" s="5"/>
    </row>
    <row r="147" spans="1:5" x14ac:dyDescent="0.25">
      <c r="A147" s="207"/>
      <c r="B147" s="218" t="s">
        <v>1053</v>
      </c>
      <c r="C147" s="193" t="s">
        <v>63</v>
      </c>
      <c r="D147" s="207">
        <f>7*(0.9+0.2+0.2)*0.15*0.2</f>
        <v>0.27300000000000002</v>
      </c>
      <c r="E147" s="5"/>
    </row>
    <row r="148" spans="1:5" ht="15" customHeight="1" x14ac:dyDescent="0.25">
      <c r="A148" s="207"/>
      <c r="B148" s="218" t="s">
        <v>1052</v>
      </c>
      <c r="C148" s="193" t="s">
        <v>63</v>
      </c>
      <c r="D148" s="207">
        <f>1*(1.5+0.2+0.2)*0.15*0.2</f>
        <v>5.6999999999999995E-2</v>
      </c>
      <c r="E148" s="5"/>
    </row>
    <row r="149" spans="1:5" ht="15" customHeight="1" x14ac:dyDescent="0.25">
      <c r="A149" s="207"/>
      <c r="B149" s="218" t="s">
        <v>1054</v>
      </c>
      <c r="C149" s="193" t="s">
        <v>63</v>
      </c>
      <c r="D149" s="207">
        <f>8*(1.6+0.2+0.2)*0.15*0.2</f>
        <v>0.48</v>
      </c>
      <c r="E149" s="5"/>
    </row>
    <row r="150" spans="1:5" x14ac:dyDescent="0.25">
      <c r="A150" s="207"/>
      <c r="B150" s="218" t="s">
        <v>1055</v>
      </c>
      <c r="C150" s="193" t="s">
        <v>63</v>
      </c>
      <c r="D150" s="207">
        <f>1*(1.4+0.2+0.2)*0.15*0.2</f>
        <v>5.3999999999999992E-2</v>
      </c>
      <c r="E150" s="5"/>
    </row>
    <row r="151" spans="1:5" x14ac:dyDescent="0.25">
      <c r="A151" s="207"/>
      <c r="B151" s="218" t="s">
        <v>1056</v>
      </c>
      <c r="C151" s="193" t="s">
        <v>63</v>
      </c>
      <c r="D151" s="207">
        <f>1*(1.25+0.2+0.2)*0.15*0.2</f>
        <v>4.9499999999999995E-2</v>
      </c>
      <c r="E151" s="5"/>
    </row>
    <row r="152" spans="1:5" x14ac:dyDescent="0.25">
      <c r="A152" s="207"/>
      <c r="B152" s="218" t="s">
        <v>1058</v>
      </c>
      <c r="C152" s="193" t="s">
        <v>63</v>
      </c>
      <c r="D152" s="207">
        <f>1*(3.65+0.4+0.4)*0.15*0.2</f>
        <v>0.13350000000000001</v>
      </c>
      <c r="E152" s="5"/>
    </row>
    <row r="153" spans="1:5" ht="15" customHeight="1" x14ac:dyDescent="0.25">
      <c r="A153" s="207"/>
      <c r="B153" s="218" t="s">
        <v>1059</v>
      </c>
      <c r="C153" s="193" t="s">
        <v>63</v>
      </c>
      <c r="D153" s="207">
        <f>1*(1.7+0.2+0.2)*0.15*0.2</f>
        <v>6.3E-2</v>
      </c>
      <c r="E153" s="5"/>
    </row>
    <row r="154" spans="1:5" ht="15" customHeight="1" x14ac:dyDescent="0.25">
      <c r="A154" s="207"/>
      <c r="B154" s="218" t="s">
        <v>1060</v>
      </c>
      <c r="C154" s="193" t="s">
        <v>63</v>
      </c>
      <c r="D154" s="207">
        <f>5*(2+0.2+0.2)*0.15*0.2</f>
        <v>0.3600000000000001</v>
      </c>
      <c r="E154" s="5"/>
    </row>
    <row r="155" spans="1:5" x14ac:dyDescent="0.25">
      <c r="A155" s="207"/>
      <c r="B155" s="219" t="s">
        <v>1146</v>
      </c>
      <c r="C155" s="207"/>
      <c r="D155" s="207"/>
      <c r="E155" s="5"/>
    </row>
    <row r="156" spans="1:5" x14ac:dyDescent="0.25">
      <c r="A156" s="207"/>
      <c r="B156" s="218" t="s">
        <v>1062</v>
      </c>
      <c r="C156" s="193" t="s">
        <v>63</v>
      </c>
      <c r="D156" s="207">
        <f>(24*(1+0.2+0.2)*0.15*0.2)*2</f>
        <v>2.0159999999999996</v>
      </c>
      <c r="E156" s="5"/>
    </row>
    <row r="157" spans="1:5" x14ac:dyDescent="0.25">
      <c r="A157" s="207"/>
      <c r="B157" s="218" t="s">
        <v>1063</v>
      </c>
      <c r="C157" s="193" t="s">
        <v>63</v>
      </c>
      <c r="D157" s="207">
        <f>(18*(2+0.2+0.2)*0.15*0.2)*2</f>
        <v>2.5920000000000005</v>
      </c>
      <c r="E157" s="5"/>
    </row>
    <row r="158" spans="1:5" x14ac:dyDescent="0.25">
      <c r="A158" s="207"/>
      <c r="B158" s="218" t="s">
        <v>1064</v>
      </c>
      <c r="C158" s="193" t="s">
        <v>63</v>
      </c>
      <c r="D158" s="207">
        <f>(17*(0.8+0.2+0.2)*0.15*0.2)*2</f>
        <v>1.224</v>
      </c>
      <c r="E158" s="5"/>
    </row>
    <row r="159" spans="1:5" x14ac:dyDescent="0.25">
      <c r="A159" s="207"/>
      <c r="B159" s="218" t="s">
        <v>1065</v>
      </c>
      <c r="C159" s="193" t="s">
        <v>63</v>
      </c>
      <c r="D159" s="207">
        <f>(15*(1.5+0.2+0.2)*0.15*0.2)*2</f>
        <v>1.71</v>
      </c>
      <c r="E159" s="5"/>
    </row>
    <row r="160" spans="1:5" x14ac:dyDescent="0.25">
      <c r="A160" s="207"/>
      <c r="B160" s="218" t="s">
        <v>1066</v>
      </c>
      <c r="C160" s="193" t="s">
        <v>63</v>
      </c>
      <c r="D160" s="207">
        <f>(10*(1.2+0.2+0.2)*0.15*0.2)*2</f>
        <v>0.95999999999999985</v>
      </c>
      <c r="E160" s="5"/>
    </row>
    <row r="161" spans="1:5" x14ac:dyDescent="0.25">
      <c r="A161" s="519" t="s">
        <v>1067</v>
      </c>
      <c r="B161" s="520"/>
      <c r="C161" s="520"/>
      <c r="D161" s="521"/>
      <c r="E161" s="5"/>
    </row>
    <row r="162" spans="1:5" ht="15.75" thickBot="1" x14ac:dyDescent="0.3">
      <c r="A162" s="522" t="s">
        <v>43</v>
      </c>
      <c r="B162" s="523"/>
      <c r="C162" s="524"/>
      <c r="D162" s="179">
        <f>SUM(D145:D160)</f>
        <v>12.234</v>
      </c>
      <c r="E162" s="5"/>
    </row>
    <row r="163" spans="1:5" s="42" customFormat="1" x14ac:dyDescent="0.25">
      <c r="A163" s="202" t="s">
        <v>202</v>
      </c>
      <c r="B163" s="203" t="str">
        <f>ORÇAMENTO!D56</f>
        <v>ANDAIME METALICO FACHADEIRO (ALUGUEL/MES)</v>
      </c>
      <c r="C163" s="208" t="s">
        <v>63</v>
      </c>
      <c r="D163" s="207" t="s">
        <v>428</v>
      </c>
    </row>
    <row r="164" spans="1:5" ht="14.25" customHeight="1" x14ac:dyDescent="0.25">
      <c r="A164" s="193" t="s">
        <v>367</v>
      </c>
      <c r="B164" s="206" t="s">
        <v>429</v>
      </c>
      <c r="C164" s="193" t="s">
        <v>195</v>
      </c>
      <c r="D164" s="207">
        <f>19.3*6.55</f>
        <v>126.41500000000001</v>
      </c>
      <c r="E164" s="5"/>
    </row>
    <row r="165" spans="1:5" x14ac:dyDescent="0.25">
      <c r="A165" s="193" t="s">
        <v>368</v>
      </c>
      <c r="B165" s="206" t="s">
        <v>430</v>
      </c>
      <c r="C165" s="193" t="s">
        <v>280</v>
      </c>
      <c r="D165" s="207">
        <v>2</v>
      </c>
      <c r="E165" s="5"/>
    </row>
    <row r="166" spans="1:5" ht="15.75" thickBot="1" x14ac:dyDescent="0.3">
      <c r="A166" s="516" t="s">
        <v>374</v>
      </c>
      <c r="B166" s="517"/>
      <c r="C166" s="518"/>
      <c r="D166" s="179">
        <f>D165*D164</f>
        <v>252.83</v>
      </c>
      <c r="E166" s="5"/>
    </row>
    <row r="167" spans="1:5" s="42" customFormat="1" x14ac:dyDescent="0.25">
      <c r="A167" s="202" t="str">
        <f>ORÇAMENTO!A57</f>
        <v>5.3</v>
      </c>
      <c r="B167" s="203" t="s">
        <v>1375</v>
      </c>
      <c r="C167" s="208" t="s">
        <v>195</v>
      </c>
      <c r="D167" s="207" t="s">
        <v>1312</v>
      </c>
    </row>
    <row r="168" spans="1:5" x14ac:dyDescent="0.25">
      <c r="A168" s="210"/>
      <c r="B168" s="220" t="s">
        <v>1035</v>
      </c>
      <c r="C168" s="208"/>
      <c r="D168" s="193"/>
      <c r="E168" s="5"/>
    </row>
    <row r="169" spans="1:5" x14ac:dyDescent="0.25">
      <c r="A169" s="193"/>
      <c r="B169" s="206" t="s">
        <v>1042</v>
      </c>
      <c r="C169" s="193" t="s">
        <v>195</v>
      </c>
      <c r="D169" s="207">
        <v>609.42999999999995</v>
      </c>
      <c r="E169" s="5"/>
    </row>
    <row r="170" spans="1:5" x14ac:dyDescent="0.25">
      <c r="A170" s="193"/>
      <c r="B170" s="206" t="s">
        <v>1039</v>
      </c>
      <c r="C170" s="193" t="s">
        <v>195</v>
      </c>
      <c r="D170" s="207">
        <f>(0.14+0.65+0.14+0.65)*3.5</f>
        <v>5.53</v>
      </c>
      <c r="E170" s="5"/>
    </row>
    <row r="171" spans="1:5" x14ac:dyDescent="0.25">
      <c r="A171" s="193"/>
      <c r="B171" s="206" t="s">
        <v>422</v>
      </c>
      <c r="C171" s="193" t="s">
        <v>195</v>
      </c>
      <c r="D171" s="207">
        <f>(0.14+0.3+0.14+0.3)*115*3.5</f>
        <v>354.20000000000005</v>
      </c>
      <c r="E171" s="5"/>
    </row>
    <row r="172" spans="1:5" x14ac:dyDescent="0.25">
      <c r="A172" s="193"/>
      <c r="B172" s="206" t="s">
        <v>1038</v>
      </c>
      <c r="C172" s="193" t="s">
        <v>195</v>
      </c>
      <c r="D172" s="207">
        <f>(0.14+0.4+0.14+0.4)*3.5*11</f>
        <v>41.580000000000005</v>
      </c>
      <c r="E172" s="5"/>
    </row>
    <row r="173" spans="1:5" x14ac:dyDescent="0.25">
      <c r="A173" s="193"/>
      <c r="B173" s="206" t="s">
        <v>421</v>
      </c>
      <c r="C173" s="193" t="s">
        <v>195</v>
      </c>
      <c r="D173" s="207">
        <f>(0.2+0.3+0.2+0.3)*6*3.5</f>
        <v>21</v>
      </c>
      <c r="E173" s="5"/>
    </row>
    <row r="174" spans="1:5" x14ac:dyDescent="0.25">
      <c r="A174" s="193"/>
      <c r="B174" s="206" t="s">
        <v>1040</v>
      </c>
      <c r="C174" s="193" t="s">
        <v>195</v>
      </c>
      <c r="D174" s="207">
        <f>(0.2+0.4+0.2+0.4)*3.5*4</f>
        <v>16.800000000000004</v>
      </c>
      <c r="E174" s="5"/>
    </row>
    <row r="175" spans="1:5" x14ac:dyDescent="0.25">
      <c r="A175" s="221"/>
      <c r="B175" s="220" t="s">
        <v>1036</v>
      </c>
      <c r="C175" s="208"/>
      <c r="D175" s="193"/>
      <c r="E175" s="5"/>
    </row>
    <row r="176" spans="1:5" x14ac:dyDescent="0.25">
      <c r="A176" s="221"/>
      <c r="B176" s="206" t="s">
        <v>1042</v>
      </c>
      <c r="C176" s="193" t="s">
        <v>195</v>
      </c>
      <c r="D176" s="207">
        <v>246.43</v>
      </c>
      <c r="E176" s="5"/>
    </row>
    <row r="177" spans="1:5" x14ac:dyDescent="0.25">
      <c r="A177" s="221"/>
      <c r="B177" s="206" t="s">
        <v>421</v>
      </c>
      <c r="C177" s="193" t="s">
        <v>195</v>
      </c>
      <c r="D177" s="207">
        <f>(0.2+0.3+0.2+0.3)*1.05*6</f>
        <v>6.3000000000000007</v>
      </c>
      <c r="E177" s="5"/>
    </row>
    <row r="178" spans="1:5" x14ac:dyDescent="0.25">
      <c r="A178" s="221"/>
      <c r="B178" s="206" t="s">
        <v>422</v>
      </c>
      <c r="C178" s="193" t="s">
        <v>195</v>
      </c>
      <c r="D178" s="207">
        <f>(0.14+0.3+0.14+0.3)*1.05*90</f>
        <v>83.160000000000011</v>
      </c>
      <c r="E178" s="5"/>
    </row>
    <row r="179" spans="1:5" x14ac:dyDescent="0.25">
      <c r="A179" s="221"/>
      <c r="B179" s="206" t="s">
        <v>1038</v>
      </c>
      <c r="C179" s="193" t="s">
        <v>195</v>
      </c>
      <c r="D179" s="207">
        <f>(0.14+0.4+0.14+0.4)*1.05*7</f>
        <v>7.9380000000000006</v>
      </c>
      <c r="E179" s="5"/>
    </row>
    <row r="180" spans="1:5" x14ac:dyDescent="0.25">
      <c r="A180" s="221"/>
      <c r="B180" s="206" t="s">
        <v>1039</v>
      </c>
      <c r="C180" s="193" t="s">
        <v>195</v>
      </c>
      <c r="D180" s="207">
        <f>(0.14+0.65+0.14+0.65)*1.05</f>
        <v>1.6590000000000003</v>
      </c>
      <c r="E180" s="5"/>
    </row>
    <row r="181" spans="1:5" x14ac:dyDescent="0.25">
      <c r="A181" s="221"/>
      <c r="B181" s="206" t="s">
        <v>1040</v>
      </c>
      <c r="C181" s="193" t="s">
        <v>195</v>
      </c>
      <c r="D181" s="207">
        <f>(0.2+0.4+0.2+0.4)*4*1.05</f>
        <v>5.0400000000000009</v>
      </c>
      <c r="E181" s="5"/>
    </row>
    <row r="182" spans="1:5" x14ac:dyDescent="0.25">
      <c r="A182" s="221"/>
      <c r="B182" s="222" t="s">
        <v>1037</v>
      </c>
      <c r="C182" s="193"/>
      <c r="D182" s="207"/>
      <c r="E182" s="5"/>
    </row>
    <row r="183" spans="1:5" ht="14.25" customHeight="1" x14ac:dyDescent="0.25">
      <c r="A183" s="221"/>
      <c r="B183" s="206" t="s">
        <v>1042</v>
      </c>
      <c r="C183" s="193" t="s">
        <v>195</v>
      </c>
      <c r="D183" s="207">
        <v>32.159999999999997</v>
      </c>
      <c r="E183" s="5"/>
    </row>
    <row r="184" spans="1:5" x14ac:dyDescent="0.25">
      <c r="A184" s="193"/>
      <c r="B184" s="206" t="s">
        <v>1041</v>
      </c>
      <c r="C184" s="193" t="s">
        <v>195</v>
      </c>
      <c r="D184" s="207">
        <f>(0.14*4)*1*2</f>
        <v>1.1200000000000001</v>
      </c>
      <c r="E184" s="5"/>
    </row>
    <row r="185" spans="1:5" x14ac:dyDescent="0.25">
      <c r="A185" s="193"/>
      <c r="B185" s="206" t="s">
        <v>422</v>
      </c>
      <c r="C185" s="193" t="s">
        <v>195</v>
      </c>
      <c r="D185" s="207">
        <f>(0.14+0.14+0.3+0.3)*13*2</f>
        <v>22.880000000000003</v>
      </c>
      <c r="E185" s="5"/>
    </row>
    <row r="186" spans="1:5" x14ac:dyDescent="0.25">
      <c r="A186" s="193"/>
      <c r="B186" s="206" t="s">
        <v>1040</v>
      </c>
      <c r="C186" s="193" t="s">
        <v>195</v>
      </c>
      <c r="D186" s="207">
        <f>(0.2+0.4+0.2+0.4)*2*4</f>
        <v>9.6000000000000014</v>
      </c>
      <c r="E186" s="5"/>
    </row>
    <row r="187" spans="1:5" x14ac:dyDescent="0.25">
      <c r="A187" s="193"/>
      <c r="B187" s="206" t="s">
        <v>1039</v>
      </c>
      <c r="C187" s="193" t="s">
        <v>195</v>
      </c>
      <c r="D187" s="207">
        <f>(0.14+0.65+0.14+0.65)*2*1</f>
        <v>3.16</v>
      </c>
      <c r="E187" s="5"/>
    </row>
    <row r="188" spans="1:5" ht="15.75" thickBot="1" x14ac:dyDescent="0.3">
      <c r="A188" s="516" t="s">
        <v>43</v>
      </c>
      <c r="B188" s="517"/>
      <c r="C188" s="518"/>
      <c r="D188" s="179">
        <f>SUM(D168:D187)</f>
        <v>1467.9870000000003</v>
      </c>
      <c r="E188" s="5"/>
    </row>
    <row r="189" spans="1:5" s="42" customFormat="1" x14ac:dyDescent="0.25">
      <c r="A189" s="202" t="str">
        <f>ORÇAMENTO!A58</f>
        <v>5.4</v>
      </c>
      <c r="B189" s="203" t="s">
        <v>417</v>
      </c>
      <c r="C189" s="208" t="s">
        <v>279</v>
      </c>
      <c r="D189" s="207" t="s">
        <v>423</v>
      </c>
    </row>
    <row r="190" spans="1:5" x14ac:dyDescent="0.25">
      <c r="A190" s="210"/>
      <c r="B190" s="206" t="s">
        <v>1034</v>
      </c>
      <c r="C190" s="193" t="s">
        <v>108</v>
      </c>
      <c r="D190" s="207">
        <v>4098.6000000000004</v>
      </c>
      <c r="E190" s="5"/>
    </row>
    <row r="191" spans="1:5" x14ac:dyDescent="0.25">
      <c r="A191" s="210"/>
      <c r="B191" s="206" t="s">
        <v>1028</v>
      </c>
      <c r="C191" s="193" t="s">
        <v>108</v>
      </c>
      <c r="D191" s="207">
        <v>943.8</v>
      </c>
      <c r="E191" s="5"/>
    </row>
    <row r="192" spans="1:5" x14ac:dyDescent="0.25">
      <c r="A192" s="210"/>
      <c r="B192" s="206" t="s">
        <v>1029</v>
      </c>
      <c r="C192" s="193" t="s">
        <v>108</v>
      </c>
      <c r="D192" s="207">
        <v>344.2</v>
      </c>
      <c r="E192" s="5"/>
    </row>
    <row r="193" spans="1:8" x14ac:dyDescent="0.25">
      <c r="A193" s="210"/>
      <c r="B193" s="206" t="s">
        <v>1031</v>
      </c>
      <c r="C193" s="193" t="s">
        <v>108</v>
      </c>
      <c r="D193" s="207">
        <v>3844</v>
      </c>
      <c r="E193" s="5"/>
    </row>
    <row r="194" spans="1:8" x14ac:dyDescent="0.25">
      <c r="A194" s="210"/>
      <c r="B194" s="206" t="s">
        <v>1032</v>
      </c>
      <c r="C194" s="193" t="s">
        <v>108</v>
      </c>
      <c r="D194" s="207">
        <v>2421.5</v>
      </c>
      <c r="E194" s="5"/>
    </row>
    <row r="195" spans="1:8" ht="15.75" customHeight="1" x14ac:dyDescent="0.25">
      <c r="A195" s="193"/>
      <c r="B195" s="206" t="s">
        <v>1033</v>
      </c>
      <c r="C195" s="193" t="s">
        <v>108</v>
      </c>
      <c r="D195" s="207">
        <v>344.2</v>
      </c>
      <c r="E195" s="5"/>
    </row>
    <row r="196" spans="1:8" ht="15.75" customHeight="1" x14ac:dyDescent="0.25">
      <c r="A196" s="193"/>
      <c r="B196" s="206" t="s">
        <v>1147</v>
      </c>
      <c r="C196" s="193" t="s">
        <v>108</v>
      </c>
      <c r="D196" s="207">
        <v>814.29</v>
      </c>
      <c r="E196" s="5"/>
    </row>
    <row r="197" spans="1:8" ht="15.75" customHeight="1" x14ac:dyDescent="0.25">
      <c r="A197" s="193"/>
      <c r="B197" s="206" t="s">
        <v>1148</v>
      </c>
      <c r="C197" s="193" t="s">
        <v>108</v>
      </c>
      <c r="D197" s="207">
        <v>574.4</v>
      </c>
      <c r="E197" s="5"/>
    </row>
    <row r="198" spans="1:8" ht="15.75" customHeight="1" x14ac:dyDescent="0.25">
      <c r="A198" s="193"/>
      <c r="B198" s="181" t="s">
        <v>356</v>
      </c>
      <c r="C198" s="193" t="s">
        <v>357</v>
      </c>
      <c r="D198" s="209">
        <v>0.154</v>
      </c>
      <c r="E198" s="5"/>
    </row>
    <row r="199" spans="1:8" ht="15.75" thickBot="1" x14ac:dyDescent="0.3">
      <c r="A199" s="516" t="s">
        <v>43</v>
      </c>
      <c r="B199" s="517"/>
      <c r="C199" s="518"/>
      <c r="D199" s="179">
        <f>SUM(D190:D197)*D198</f>
        <v>2061.2884599999998</v>
      </c>
      <c r="E199" s="5"/>
      <c r="H199" s="5" t="s">
        <v>271</v>
      </c>
    </row>
    <row r="200" spans="1:8" s="42" customFormat="1" x14ac:dyDescent="0.25">
      <c r="A200" s="202" t="str">
        <f>ORÇAMENTO!A59</f>
        <v>5.5</v>
      </c>
      <c r="B200" s="203" t="str">
        <f>ORÇAMENTO!D59</f>
        <v>ACO CA-50-A - 6,3 MM (1/4") - (OBRAS CIVIS)</v>
      </c>
      <c r="C200" s="208" t="s">
        <v>279</v>
      </c>
      <c r="D200" s="207" t="s">
        <v>423</v>
      </c>
    </row>
    <row r="201" spans="1:8" x14ac:dyDescent="0.25">
      <c r="A201" s="210"/>
      <c r="B201" s="206" t="s">
        <v>1031</v>
      </c>
      <c r="C201" s="207" t="s">
        <v>108</v>
      </c>
      <c r="D201" s="193">
        <v>5.9</v>
      </c>
      <c r="E201" s="5"/>
    </row>
    <row r="202" spans="1:8" x14ac:dyDescent="0.25">
      <c r="A202" s="210"/>
      <c r="B202" s="206" t="s">
        <v>1147</v>
      </c>
      <c r="C202" s="207" t="s">
        <v>108</v>
      </c>
      <c r="D202" s="193">
        <v>486.12</v>
      </c>
      <c r="E202" s="5"/>
    </row>
    <row r="203" spans="1:8" s="94" customFormat="1" x14ac:dyDescent="0.25">
      <c r="A203" s="210"/>
      <c r="B203" s="206" t="s">
        <v>1342</v>
      </c>
      <c r="C203" s="207" t="s">
        <v>108</v>
      </c>
      <c r="D203" s="193">
        <f>8*2.25*6</f>
        <v>108</v>
      </c>
    </row>
    <row r="204" spans="1:8" x14ac:dyDescent="0.25">
      <c r="A204" s="210"/>
      <c r="B204" s="181" t="s">
        <v>356</v>
      </c>
      <c r="C204" s="193" t="s">
        <v>357</v>
      </c>
      <c r="D204" s="209">
        <v>0.245</v>
      </c>
      <c r="E204" s="5"/>
    </row>
    <row r="205" spans="1:8" ht="15.75" thickBot="1" x14ac:dyDescent="0.3">
      <c r="A205" s="516" t="s">
        <v>43</v>
      </c>
      <c r="B205" s="517"/>
      <c r="C205" s="518"/>
      <c r="D205" s="179">
        <f>SUM(D201:D203)*D204</f>
        <v>147.00489999999999</v>
      </c>
      <c r="E205" s="5"/>
    </row>
    <row r="206" spans="1:8" s="42" customFormat="1" x14ac:dyDescent="0.25">
      <c r="A206" s="202" t="str">
        <f>ORÇAMENTO!A60</f>
        <v>5.6</v>
      </c>
      <c r="B206" s="203" t="str">
        <f>ORÇAMENTO!D60</f>
        <v>ACO CA-50 A - 8,0 MM (5/16") - (OBRAS CIVIS)</v>
      </c>
      <c r="C206" s="208" t="s">
        <v>279</v>
      </c>
      <c r="D206" s="207" t="s">
        <v>423</v>
      </c>
    </row>
    <row r="207" spans="1:8" x14ac:dyDescent="0.25">
      <c r="A207" s="210"/>
      <c r="B207" s="206" t="s">
        <v>1031</v>
      </c>
      <c r="C207" s="207" t="s">
        <v>108</v>
      </c>
      <c r="D207" s="193">
        <v>2325.1</v>
      </c>
      <c r="E207" s="5"/>
    </row>
    <row r="208" spans="1:8" x14ac:dyDescent="0.25">
      <c r="A208" s="210"/>
      <c r="B208" s="206" t="s">
        <v>1032</v>
      </c>
      <c r="C208" s="207" t="s">
        <v>108</v>
      </c>
      <c r="D208" s="193">
        <v>1658.9</v>
      </c>
      <c r="E208" s="5"/>
    </row>
    <row r="209" spans="1:5" x14ac:dyDescent="0.25">
      <c r="A209" s="210"/>
      <c r="B209" s="206" t="s">
        <v>1033</v>
      </c>
      <c r="C209" s="207" t="s">
        <v>108</v>
      </c>
      <c r="D209" s="193">
        <v>250.3</v>
      </c>
      <c r="E209" s="5"/>
    </row>
    <row r="210" spans="1:5" x14ac:dyDescent="0.25">
      <c r="A210" s="210"/>
      <c r="B210" s="206" t="s">
        <v>1147</v>
      </c>
      <c r="C210" s="207" t="s">
        <v>108</v>
      </c>
      <c r="D210" s="193">
        <v>101.52</v>
      </c>
      <c r="E210" s="5"/>
    </row>
    <row r="211" spans="1:5" x14ac:dyDescent="0.25">
      <c r="A211" s="210"/>
      <c r="B211" s="181" t="s">
        <v>356</v>
      </c>
      <c r="C211" s="193" t="s">
        <v>357</v>
      </c>
      <c r="D211" s="209">
        <v>0.39500000000000002</v>
      </c>
      <c r="E211" s="5"/>
    </row>
    <row r="212" spans="1:5" ht="15.75" thickBot="1" x14ac:dyDescent="0.3">
      <c r="A212" s="516" t="s">
        <v>43</v>
      </c>
      <c r="B212" s="517"/>
      <c r="C212" s="518"/>
      <c r="D212" s="179">
        <f>SUM(D207:D210)*D211</f>
        <v>1712.6489000000004</v>
      </c>
      <c r="E212" s="5"/>
    </row>
    <row r="213" spans="1:5" s="42" customFormat="1" x14ac:dyDescent="0.25">
      <c r="A213" s="202" t="str">
        <f>ORÇAMENTO!A61</f>
        <v>5.7</v>
      </c>
      <c r="B213" s="203" t="str">
        <f>ORÇAMENTO!D61</f>
        <v xml:space="preserve">ACO CA-50A - 10,0 MM (3/8") - (OBRAS CIVIS) </v>
      </c>
      <c r="C213" s="208" t="s">
        <v>279</v>
      </c>
      <c r="D213" s="207" t="s">
        <v>423</v>
      </c>
    </row>
    <row r="214" spans="1:5" x14ac:dyDescent="0.25">
      <c r="A214" s="210"/>
      <c r="B214" s="206" t="s">
        <v>1034</v>
      </c>
      <c r="C214" s="193" t="s">
        <v>108</v>
      </c>
      <c r="D214" s="207">
        <v>2037</v>
      </c>
      <c r="E214" s="5"/>
    </row>
    <row r="215" spans="1:5" x14ac:dyDescent="0.25">
      <c r="A215" s="210"/>
      <c r="B215" s="206" t="s">
        <v>1028</v>
      </c>
      <c r="C215" s="193" t="s">
        <v>108</v>
      </c>
      <c r="D215" s="207">
        <v>473.2</v>
      </c>
      <c r="E215" s="5"/>
    </row>
    <row r="216" spans="1:5" x14ac:dyDescent="0.25">
      <c r="A216" s="210"/>
      <c r="B216" s="206" t="s">
        <v>1029</v>
      </c>
      <c r="C216" s="193" t="s">
        <v>108</v>
      </c>
      <c r="D216" s="207">
        <v>173.4</v>
      </c>
      <c r="E216" s="5"/>
    </row>
    <row r="217" spans="1:5" x14ac:dyDescent="0.25">
      <c r="A217" s="193"/>
      <c r="B217" s="206" t="s">
        <v>1031</v>
      </c>
      <c r="C217" s="193" t="s">
        <v>108</v>
      </c>
      <c r="D217" s="207">
        <v>980.6</v>
      </c>
      <c r="E217" s="5"/>
    </row>
    <row r="218" spans="1:5" x14ac:dyDescent="0.25">
      <c r="A218" s="193"/>
      <c r="B218" s="206" t="s">
        <v>1032</v>
      </c>
      <c r="C218" s="193" t="s">
        <v>108</v>
      </c>
      <c r="D218" s="207">
        <v>73.099999999999994</v>
      </c>
      <c r="E218" s="5"/>
    </row>
    <row r="219" spans="1:5" x14ac:dyDescent="0.25">
      <c r="A219" s="193"/>
      <c r="B219" s="206" t="s">
        <v>1148</v>
      </c>
      <c r="C219" s="193" t="s">
        <v>108</v>
      </c>
      <c r="D219" s="207">
        <v>548.4</v>
      </c>
      <c r="E219" s="5"/>
    </row>
    <row r="220" spans="1:5" x14ac:dyDescent="0.25">
      <c r="A220" s="193"/>
      <c r="B220" s="181" t="s">
        <v>356</v>
      </c>
      <c r="C220" s="193" t="s">
        <v>357</v>
      </c>
      <c r="D220" s="209">
        <v>0.61699999999999999</v>
      </c>
      <c r="E220" s="5"/>
    </row>
    <row r="221" spans="1:5" ht="15.75" thickBot="1" x14ac:dyDescent="0.3">
      <c r="A221" s="516" t="s">
        <v>43</v>
      </c>
      <c r="B221" s="517"/>
      <c r="C221" s="518"/>
      <c r="D221" s="179">
        <f>SUM(D214:D219)*D220</f>
        <v>2644.2768999999998</v>
      </c>
      <c r="E221" s="5"/>
    </row>
    <row r="222" spans="1:5" s="42" customFormat="1" x14ac:dyDescent="0.25">
      <c r="A222" s="202" t="str">
        <f>ORÇAMENTO!A62</f>
        <v>5.8</v>
      </c>
      <c r="B222" s="203" t="str">
        <f>ORÇAMENTO!D62</f>
        <v>ACO CA-50A - 12,5 MM (1/2") - (OBRAS CIVIS)</v>
      </c>
      <c r="C222" s="208" t="s">
        <v>279</v>
      </c>
      <c r="D222" s="207" t="s">
        <v>423</v>
      </c>
    </row>
    <row r="223" spans="1:5" x14ac:dyDescent="0.25">
      <c r="A223" s="210"/>
      <c r="B223" s="206" t="s">
        <v>1034</v>
      </c>
      <c r="C223" s="193" t="s">
        <v>108</v>
      </c>
      <c r="D223" s="207">
        <v>459.1</v>
      </c>
      <c r="E223" s="5"/>
    </row>
    <row r="224" spans="1:5" x14ac:dyDescent="0.25">
      <c r="A224" s="210"/>
      <c r="B224" s="206" t="s">
        <v>1028</v>
      </c>
      <c r="C224" s="193" t="s">
        <v>108</v>
      </c>
      <c r="D224" s="207">
        <v>30</v>
      </c>
      <c r="E224" s="5"/>
    </row>
    <row r="225" spans="1:5" x14ac:dyDescent="0.25">
      <c r="A225" s="193"/>
      <c r="B225" s="206" t="s">
        <v>1031</v>
      </c>
      <c r="C225" s="193" t="s">
        <v>108</v>
      </c>
      <c r="D225" s="207">
        <v>567.5</v>
      </c>
      <c r="E225" s="5"/>
    </row>
    <row r="226" spans="1:5" x14ac:dyDescent="0.25">
      <c r="A226" s="193"/>
      <c r="B226" s="206" t="s">
        <v>1032</v>
      </c>
      <c r="C226" s="193" t="s">
        <v>108</v>
      </c>
      <c r="D226" s="207">
        <v>32.1</v>
      </c>
      <c r="E226" s="5"/>
    </row>
    <row r="227" spans="1:5" x14ac:dyDescent="0.25">
      <c r="A227" s="193"/>
      <c r="B227" s="206" t="s">
        <v>1148</v>
      </c>
      <c r="C227" s="193" t="s">
        <v>108</v>
      </c>
      <c r="D227" s="207">
        <v>124.2</v>
      </c>
      <c r="E227" s="5"/>
    </row>
    <row r="228" spans="1:5" x14ac:dyDescent="0.25">
      <c r="A228" s="193"/>
      <c r="B228" s="181" t="s">
        <v>356</v>
      </c>
      <c r="C228" s="193" t="s">
        <v>357</v>
      </c>
      <c r="D228" s="209">
        <v>0.96299999999999997</v>
      </c>
      <c r="E228" s="5"/>
    </row>
    <row r="229" spans="1:5" ht="15.75" thickBot="1" x14ac:dyDescent="0.3">
      <c r="A229" s="516" t="s">
        <v>43</v>
      </c>
      <c r="B229" s="517"/>
      <c r="C229" s="518"/>
      <c r="D229" s="179">
        <f>SUM(D223:D227)*D228</f>
        <v>1168.0226999999998</v>
      </c>
      <c r="E229" s="5"/>
    </row>
    <row r="230" spans="1:5" s="42" customFormat="1" x14ac:dyDescent="0.25">
      <c r="A230" s="202" t="str">
        <f>ORÇAMENTO!A63</f>
        <v>5.9</v>
      </c>
      <c r="B230" s="203" t="str">
        <f>ORÇAMENTO!D63</f>
        <v>ACO CA-50 - 16,0 MM (5/8") - (OBRAS CIVIS)</v>
      </c>
      <c r="C230" s="208" t="s">
        <v>279</v>
      </c>
      <c r="D230" s="207" t="s">
        <v>423</v>
      </c>
    </row>
    <row r="231" spans="1:5" x14ac:dyDescent="0.25">
      <c r="A231" s="210"/>
      <c r="B231" s="206" t="s">
        <v>1034</v>
      </c>
      <c r="C231" s="193" t="s">
        <v>108</v>
      </c>
      <c r="D231" s="207">
        <v>134</v>
      </c>
      <c r="E231" s="5"/>
    </row>
    <row r="232" spans="1:5" x14ac:dyDescent="0.25">
      <c r="A232" s="210"/>
      <c r="B232" s="206" t="s">
        <v>1028</v>
      </c>
      <c r="C232" s="193" t="s">
        <v>108</v>
      </c>
      <c r="D232" s="207">
        <v>47.8</v>
      </c>
      <c r="E232" s="5"/>
    </row>
    <row r="233" spans="1:5" x14ac:dyDescent="0.25">
      <c r="A233" s="193"/>
      <c r="B233" s="206" t="s">
        <v>1031</v>
      </c>
      <c r="C233" s="193" t="s">
        <v>108</v>
      </c>
      <c r="D233" s="207">
        <v>193</v>
      </c>
      <c r="E233" s="5"/>
    </row>
    <row r="234" spans="1:5" x14ac:dyDescent="0.25">
      <c r="A234" s="193"/>
      <c r="B234" s="206" t="s">
        <v>1148</v>
      </c>
      <c r="C234" s="193" t="s">
        <v>108</v>
      </c>
      <c r="D234" s="207">
        <v>34</v>
      </c>
      <c r="E234" s="5"/>
    </row>
    <row r="235" spans="1:5" x14ac:dyDescent="0.25">
      <c r="A235" s="193"/>
      <c r="B235" s="181" t="s">
        <v>356</v>
      </c>
      <c r="C235" s="193" t="s">
        <v>357</v>
      </c>
      <c r="D235" s="209">
        <v>1.5780000000000001</v>
      </c>
      <c r="E235" s="5"/>
    </row>
    <row r="236" spans="1:5" ht="15.75" thickBot="1" x14ac:dyDescent="0.3">
      <c r="A236" s="516" t="s">
        <v>43</v>
      </c>
      <c r="B236" s="517"/>
      <c r="C236" s="518"/>
      <c r="D236" s="179">
        <f>SUM(D231:D234)*D235</f>
        <v>645.08640000000003</v>
      </c>
      <c r="E236" s="5"/>
    </row>
    <row r="237" spans="1:5" s="42" customFormat="1" x14ac:dyDescent="0.25">
      <c r="A237" s="202" t="str">
        <f>ORÇAMENTO!A64</f>
        <v>5.10</v>
      </c>
      <c r="B237" s="203" t="str">
        <f>ORÇAMENTO!D64</f>
        <v xml:space="preserve">PREPARO COM BETONEIRA E TRANSPORTE MANUAL DE CONCRETO FCK=30 MPA </v>
      </c>
      <c r="C237" s="208" t="str">
        <f>C238</f>
        <v>m3</v>
      </c>
      <c r="D237" s="207" t="s">
        <v>1313</v>
      </c>
    </row>
    <row r="238" spans="1:5" x14ac:dyDescent="0.25">
      <c r="A238" s="210"/>
      <c r="B238" s="206" t="s">
        <v>1031</v>
      </c>
      <c r="C238" s="207" t="s">
        <v>63</v>
      </c>
      <c r="D238" s="193">
        <v>35.200000000000003</v>
      </c>
      <c r="E238" s="5"/>
    </row>
    <row r="239" spans="1:5" x14ac:dyDescent="0.25">
      <c r="A239" s="210"/>
      <c r="B239" s="206" t="s">
        <v>1032</v>
      </c>
      <c r="C239" s="207" t="s">
        <v>63</v>
      </c>
      <c r="D239" s="193">
        <v>12.3</v>
      </c>
      <c r="E239" s="5"/>
    </row>
    <row r="240" spans="1:5" x14ac:dyDescent="0.25">
      <c r="A240" s="210"/>
      <c r="B240" s="206" t="s">
        <v>1033</v>
      </c>
      <c r="C240" s="207" t="s">
        <v>63</v>
      </c>
      <c r="D240" s="193">
        <v>1.5</v>
      </c>
      <c r="E240" s="5"/>
    </row>
    <row r="241" spans="1:5" x14ac:dyDescent="0.25">
      <c r="A241" s="210"/>
      <c r="B241" s="206" t="s">
        <v>1034</v>
      </c>
      <c r="C241" s="207" t="s">
        <v>63</v>
      </c>
      <c r="D241" s="193">
        <v>22</v>
      </c>
      <c r="E241" s="5"/>
    </row>
    <row r="242" spans="1:5" x14ac:dyDescent="0.25">
      <c r="A242" s="210"/>
      <c r="B242" s="206" t="s">
        <v>1028</v>
      </c>
      <c r="C242" s="207" t="s">
        <v>63</v>
      </c>
      <c r="D242" s="193">
        <v>4.8</v>
      </c>
      <c r="E242" s="5"/>
    </row>
    <row r="243" spans="1:5" x14ac:dyDescent="0.25">
      <c r="A243" s="193"/>
      <c r="B243" s="206" t="s">
        <v>1029</v>
      </c>
      <c r="C243" s="207" t="s">
        <v>63</v>
      </c>
      <c r="D243" s="193">
        <v>1.9</v>
      </c>
      <c r="E243" s="5"/>
    </row>
    <row r="244" spans="1:5" ht="15.75" thickBot="1" x14ac:dyDescent="0.3">
      <c r="A244" s="516" t="s">
        <v>43</v>
      </c>
      <c r="B244" s="517"/>
      <c r="C244" s="518"/>
      <c r="D244" s="179">
        <f>SUM(D238:D243)</f>
        <v>77.7</v>
      </c>
      <c r="E244" s="5"/>
    </row>
    <row r="245" spans="1:5" s="42" customFormat="1" x14ac:dyDescent="0.25">
      <c r="A245" s="202" t="str">
        <f>ORÇAMENTO!A65</f>
        <v>5.11</v>
      </c>
      <c r="B245" s="203" t="str">
        <f>ORÇAMENTO!D65</f>
        <v>LANÇAMENTO/APLICAÇÃO/ADENSAMENTO MANUAL DE CONCRETO - (OBRAS CIVIS)</v>
      </c>
      <c r="C245" s="208" t="str">
        <f>C237</f>
        <v>m3</v>
      </c>
      <c r="D245" s="207" t="s">
        <v>1313</v>
      </c>
    </row>
    <row r="246" spans="1:5" x14ac:dyDescent="0.25">
      <c r="A246" s="193"/>
      <c r="B246" s="206" t="s">
        <v>1149</v>
      </c>
      <c r="C246" s="193" t="str">
        <f>C237</f>
        <v>m3</v>
      </c>
      <c r="D246" s="207">
        <f>D244</f>
        <v>77.7</v>
      </c>
      <c r="E246" s="5"/>
    </row>
    <row r="247" spans="1:5" ht="15.75" thickBot="1" x14ac:dyDescent="0.3">
      <c r="A247" s="516" t="s">
        <v>43</v>
      </c>
      <c r="B247" s="517"/>
      <c r="C247" s="518"/>
      <c r="D247" s="179">
        <f>SUM(D246:D246)</f>
        <v>77.7</v>
      </c>
      <c r="E247" s="5"/>
    </row>
    <row r="248" spans="1:5" s="42" customFormat="1" ht="24" x14ac:dyDescent="0.25">
      <c r="A248" s="202" t="str">
        <f>ORÇAMENTO!A66</f>
        <v>5.12</v>
      </c>
      <c r="B248" s="203" t="str">
        <f>ORÇAMENTO!D66</f>
        <v>FORRO EM LAJE PRE-MOLDADA INC.CAPEAMENTO/FERR.DISTRIB./ESCORAMENTO E FORMA/DESFORMA</v>
      </c>
      <c r="C248" s="208" t="s">
        <v>195</v>
      </c>
      <c r="D248" s="207" t="s">
        <v>443</v>
      </c>
    </row>
    <row r="249" spans="1:5" x14ac:dyDescent="0.25">
      <c r="A249" s="193"/>
      <c r="B249" s="206" t="s">
        <v>1150</v>
      </c>
      <c r="C249" s="193" t="s">
        <v>195</v>
      </c>
      <c r="D249" s="207">
        <f>D28</f>
        <v>1043.0999999999999</v>
      </c>
      <c r="E249" s="5"/>
    </row>
    <row r="250" spans="1:5" ht="15.75" thickBot="1" x14ac:dyDescent="0.3">
      <c r="A250" s="516" t="s">
        <v>43</v>
      </c>
      <c r="B250" s="517"/>
      <c r="C250" s="518"/>
      <c r="D250" s="179">
        <f>SUM(D249:D249)</f>
        <v>1043.0999999999999</v>
      </c>
      <c r="E250" s="5"/>
    </row>
    <row r="251" spans="1:5" s="94" customFormat="1" ht="30" customHeight="1" x14ac:dyDescent="0.25">
      <c r="A251" s="202" t="s">
        <v>1371</v>
      </c>
      <c r="B251" s="203" t="s">
        <v>1372</v>
      </c>
      <c r="C251" s="208" t="s">
        <v>195</v>
      </c>
      <c r="D251" s="207" t="s">
        <v>443</v>
      </c>
    </row>
    <row r="252" spans="1:5" s="94" customFormat="1" x14ac:dyDescent="0.25">
      <c r="A252" s="193" t="s">
        <v>367</v>
      </c>
      <c r="B252" s="206" t="s">
        <v>1373</v>
      </c>
      <c r="C252" s="193" t="s">
        <v>108</v>
      </c>
      <c r="D252" s="207">
        <f>8*3.5</f>
        <v>28</v>
      </c>
    </row>
    <row r="253" spans="1:5" s="94" customFormat="1" x14ac:dyDescent="0.25">
      <c r="A253" s="193" t="s">
        <v>368</v>
      </c>
      <c r="B253" s="206" t="s">
        <v>1376</v>
      </c>
      <c r="C253" s="193" t="s">
        <v>195</v>
      </c>
      <c r="D253" s="209">
        <v>0.14000000000000001</v>
      </c>
    </row>
    <row r="254" spans="1:5" s="94" customFormat="1" ht="15.75" thickBot="1" x14ac:dyDescent="0.3">
      <c r="A254" s="516" t="s">
        <v>1374</v>
      </c>
      <c r="B254" s="517"/>
      <c r="C254" s="518"/>
      <c r="D254" s="179">
        <f>D253*D252</f>
        <v>3.9200000000000004</v>
      </c>
    </row>
    <row r="255" spans="1:5" s="94" customFormat="1" ht="15.75" thickBot="1" x14ac:dyDescent="0.3">
      <c r="A255" s="223"/>
      <c r="B255" s="223"/>
      <c r="C255" s="223"/>
      <c r="D255" s="224"/>
    </row>
    <row r="256" spans="1:5" ht="15.75" thickBot="1" x14ac:dyDescent="0.3">
      <c r="A256" s="169">
        <v>6</v>
      </c>
      <c r="B256" s="225" t="s">
        <v>358</v>
      </c>
      <c r="C256" s="171"/>
      <c r="D256" s="171"/>
      <c r="E256" s="5"/>
    </row>
    <row r="257" spans="1:5" ht="15.75" thickBot="1" x14ac:dyDescent="0.3">
      <c r="A257" s="172" t="s">
        <v>2</v>
      </c>
      <c r="B257" s="172" t="s">
        <v>316</v>
      </c>
      <c r="C257" s="172" t="s">
        <v>317</v>
      </c>
      <c r="D257" s="172" t="s">
        <v>318</v>
      </c>
      <c r="E257" s="5"/>
    </row>
    <row r="258" spans="1:5" x14ac:dyDescent="0.25">
      <c r="A258" s="176" t="s">
        <v>75</v>
      </c>
      <c r="B258" s="181" t="s">
        <v>1201</v>
      </c>
      <c r="C258" s="176" t="str">
        <f>ORÇAMENTO!F71</f>
        <v>pr</v>
      </c>
      <c r="D258" s="207">
        <v>10</v>
      </c>
      <c r="E258" s="5"/>
    </row>
    <row r="259" spans="1:5" x14ac:dyDescent="0.25">
      <c r="A259" s="193" t="s">
        <v>76</v>
      </c>
      <c r="B259" s="206" t="s">
        <v>1202</v>
      </c>
      <c r="C259" s="176" t="str">
        <f>ORÇAMENTO!F72</f>
        <v>pr</v>
      </c>
      <c r="D259" s="193">
        <v>4</v>
      </c>
      <c r="E259" s="5"/>
    </row>
    <row r="260" spans="1:5" x14ac:dyDescent="0.25">
      <c r="A260" s="176" t="s">
        <v>79</v>
      </c>
      <c r="B260" s="226" t="s">
        <v>1203</v>
      </c>
      <c r="C260" s="176" t="str">
        <f>ORÇAMENTO!F73</f>
        <v>pr</v>
      </c>
      <c r="D260" s="207">
        <v>4</v>
      </c>
      <c r="E260" s="5"/>
    </row>
    <row r="261" spans="1:5" x14ac:dyDescent="0.25">
      <c r="A261" s="193" t="s">
        <v>80</v>
      </c>
      <c r="B261" s="206" t="s">
        <v>1204</v>
      </c>
      <c r="C261" s="176" t="str">
        <f>ORÇAMENTO!F74</f>
        <v>und.</v>
      </c>
      <c r="D261" s="193">
        <v>352</v>
      </c>
      <c r="E261" s="5"/>
    </row>
    <row r="262" spans="1:5" x14ac:dyDescent="0.25">
      <c r="A262" s="176" t="s">
        <v>81</v>
      </c>
      <c r="B262" s="181" t="s">
        <v>1166</v>
      </c>
      <c r="C262" s="176" t="str">
        <f>ORÇAMENTO!F75</f>
        <v>und.</v>
      </c>
      <c r="D262" s="207">
        <v>28</v>
      </c>
      <c r="E262" s="5"/>
    </row>
    <row r="263" spans="1:5" ht="36" x14ac:dyDescent="0.25">
      <c r="A263" s="193" t="s">
        <v>77</v>
      </c>
      <c r="B263" s="206" t="s">
        <v>1205</v>
      </c>
      <c r="C263" s="176" t="str">
        <f>ORÇAMENTO!F76</f>
        <v>und.</v>
      </c>
      <c r="D263" s="193">
        <v>1</v>
      </c>
      <c r="E263" s="5"/>
    </row>
    <row r="264" spans="1:5" ht="36" x14ac:dyDescent="0.25">
      <c r="A264" s="176" t="s">
        <v>78</v>
      </c>
      <c r="B264" s="181" t="s">
        <v>1206</v>
      </c>
      <c r="C264" s="176" t="str">
        <f>ORÇAMENTO!F77</f>
        <v>und.</v>
      </c>
      <c r="D264" s="207">
        <v>5</v>
      </c>
      <c r="E264" s="5"/>
    </row>
    <row r="265" spans="1:5" x14ac:dyDescent="0.25">
      <c r="A265" s="193" t="s">
        <v>82</v>
      </c>
      <c r="B265" s="206" t="s">
        <v>1207</v>
      </c>
      <c r="C265" s="176" t="str">
        <f>ORÇAMENTO!F78</f>
        <v>und.</v>
      </c>
      <c r="D265" s="193">
        <v>8</v>
      </c>
      <c r="E265" s="5"/>
    </row>
    <row r="266" spans="1:5" x14ac:dyDescent="0.25">
      <c r="A266" s="176" t="s">
        <v>83</v>
      </c>
      <c r="B266" s="181" t="s">
        <v>1165</v>
      </c>
      <c r="C266" s="176" t="str">
        <f>ORÇAMENTO!F79</f>
        <v>und.</v>
      </c>
      <c r="D266" s="207">
        <v>3</v>
      </c>
      <c r="E266" s="5"/>
    </row>
    <row r="267" spans="1:5" x14ac:dyDescent="0.25">
      <c r="A267" s="193" t="s">
        <v>84</v>
      </c>
      <c r="B267" s="206" t="s">
        <v>1208</v>
      </c>
      <c r="C267" s="176" t="str">
        <f>ORÇAMENTO!F80</f>
        <v>und.</v>
      </c>
      <c r="D267" s="193">
        <v>1</v>
      </c>
      <c r="E267" s="5"/>
    </row>
    <row r="268" spans="1:5" x14ac:dyDescent="0.25">
      <c r="A268" s="176" t="s">
        <v>85</v>
      </c>
      <c r="B268" s="181" t="s">
        <v>1209</v>
      </c>
      <c r="C268" s="176" t="str">
        <f>ORÇAMENTO!F81</f>
        <v>und.</v>
      </c>
      <c r="D268" s="207">
        <v>1</v>
      </c>
      <c r="E268" s="5"/>
    </row>
    <row r="269" spans="1:5" x14ac:dyDescent="0.25">
      <c r="A269" s="193" t="s">
        <v>86</v>
      </c>
      <c r="B269" s="206" t="s">
        <v>1210</v>
      </c>
      <c r="C269" s="176" t="str">
        <f>ORÇAMENTO!F82</f>
        <v>m</v>
      </c>
      <c r="D269" s="193">
        <f>19.6*3</f>
        <v>58.800000000000004</v>
      </c>
      <c r="E269" s="5"/>
    </row>
    <row r="270" spans="1:5" x14ac:dyDescent="0.25">
      <c r="A270" s="176" t="s">
        <v>87</v>
      </c>
      <c r="B270" s="181" t="s">
        <v>1211</v>
      </c>
      <c r="C270" s="176" t="str">
        <f>ORÇAMENTO!F83</f>
        <v>m</v>
      </c>
      <c r="D270" s="207">
        <f>(141.6*2)+(53.3)+(44*3)+334.7+36.5+265.3+250.6+61.1</f>
        <v>1416.6999999999998</v>
      </c>
      <c r="E270" s="5"/>
    </row>
    <row r="271" spans="1:5" x14ac:dyDescent="0.25">
      <c r="A271" s="193" t="s">
        <v>88</v>
      </c>
      <c r="B271" s="206" t="s">
        <v>1212</v>
      </c>
      <c r="C271" s="176" t="str">
        <f>ORÇAMENTO!F84</f>
        <v>m</v>
      </c>
      <c r="D271" s="193">
        <f>611.8+340.6+417.2+(116.8*3)+97.6+474.9+135.8+173+5.6+701.3+227.7+322.5+5.9</f>
        <v>3864.2999999999997</v>
      </c>
      <c r="E271" s="5"/>
    </row>
    <row r="272" spans="1:5" x14ac:dyDescent="0.25">
      <c r="A272" s="176" t="s">
        <v>89</v>
      </c>
      <c r="B272" s="181" t="s">
        <v>1213</v>
      </c>
      <c r="C272" s="176" t="str">
        <f>ORÇAMENTO!F85</f>
        <v>m</v>
      </c>
      <c r="D272" s="207">
        <f>49.5+(24.6*4)</f>
        <v>147.9</v>
      </c>
      <c r="E272" s="5"/>
    </row>
    <row r="273" spans="1:5" x14ac:dyDescent="0.25">
      <c r="A273" s="193" t="s">
        <v>90</v>
      </c>
      <c r="B273" s="206" t="s">
        <v>1214</v>
      </c>
      <c r="C273" s="176" t="str">
        <f>ORÇAMENTO!F86</f>
        <v>m</v>
      </c>
      <c r="D273" s="193">
        <f>288.8*2+117.8+545.5+347.2+58+38.6+140.3</f>
        <v>1825</v>
      </c>
      <c r="E273" s="5"/>
    </row>
    <row r="274" spans="1:5" x14ac:dyDescent="0.25">
      <c r="A274" s="176" t="s">
        <v>91</v>
      </c>
      <c r="B274" s="181" t="s">
        <v>1215</v>
      </c>
      <c r="C274" s="176" t="str">
        <f>ORÇAMENTO!F87</f>
        <v>m</v>
      </c>
      <c r="D274" s="207">
        <f>379.3*2+369.5</f>
        <v>1128.0999999999999</v>
      </c>
      <c r="E274" s="5"/>
    </row>
    <row r="275" spans="1:5" x14ac:dyDescent="0.25">
      <c r="A275" s="193" t="s">
        <v>92</v>
      </c>
      <c r="B275" s="181" t="s">
        <v>1237</v>
      </c>
      <c r="C275" s="176" t="str">
        <f>ORÇAMENTO!F88</f>
        <v>m</v>
      </c>
      <c r="D275" s="207">
        <f>35*3</f>
        <v>105</v>
      </c>
      <c r="E275" s="5"/>
    </row>
    <row r="276" spans="1:5" x14ac:dyDescent="0.25">
      <c r="A276" s="176" t="s">
        <v>93</v>
      </c>
      <c r="B276" s="181" t="s">
        <v>1239</v>
      </c>
      <c r="C276" s="176" t="str">
        <f>ORÇAMENTO!F89</f>
        <v>m</v>
      </c>
      <c r="D276" s="207">
        <f>57.8</f>
        <v>57.8</v>
      </c>
      <c r="E276" s="5"/>
    </row>
    <row r="277" spans="1:5" ht="24" x14ac:dyDescent="0.25">
      <c r="A277" s="193" t="s">
        <v>94</v>
      </c>
      <c r="B277" s="181" t="s">
        <v>1216</v>
      </c>
      <c r="C277" s="176" t="str">
        <f>ORÇAMENTO!F90</f>
        <v>m</v>
      </c>
      <c r="D277" s="193">
        <v>5</v>
      </c>
      <c r="E277" s="5"/>
    </row>
    <row r="278" spans="1:5" x14ac:dyDescent="0.25">
      <c r="A278" s="176" t="s">
        <v>95</v>
      </c>
      <c r="B278" s="181" t="s">
        <v>1217</v>
      </c>
      <c r="C278" s="176" t="str">
        <f>ORÇAMENTO!F91</f>
        <v>und.</v>
      </c>
      <c r="D278" s="207">
        <v>15</v>
      </c>
      <c r="E278" s="5"/>
    </row>
    <row r="279" spans="1:5" x14ac:dyDescent="0.25">
      <c r="A279" s="193" t="s">
        <v>96</v>
      </c>
      <c r="B279" s="181" t="s">
        <v>1218</v>
      </c>
      <c r="C279" s="176" t="str">
        <f>ORÇAMENTO!F92</f>
        <v>und.</v>
      </c>
      <c r="D279" s="193">
        <v>14</v>
      </c>
      <c r="E279" s="5"/>
    </row>
    <row r="280" spans="1:5" x14ac:dyDescent="0.25">
      <c r="A280" s="176" t="s">
        <v>97</v>
      </c>
      <c r="B280" s="181" t="s">
        <v>1219</v>
      </c>
      <c r="C280" s="176" t="str">
        <f>ORÇAMENTO!F93</f>
        <v>und.</v>
      </c>
      <c r="D280" s="207">
        <v>6</v>
      </c>
      <c r="E280" s="5"/>
    </row>
    <row r="281" spans="1:5" ht="24" x14ac:dyDescent="0.25">
      <c r="A281" s="193" t="s">
        <v>98</v>
      </c>
      <c r="B281" s="206" t="s">
        <v>1220</v>
      </c>
      <c r="C281" s="176" t="str">
        <f>ORÇAMENTO!F94</f>
        <v>und.</v>
      </c>
      <c r="D281" s="193">
        <v>4</v>
      </c>
      <c r="E281" s="5"/>
    </row>
    <row r="282" spans="1:5" x14ac:dyDescent="0.25">
      <c r="A282" s="176" t="s">
        <v>99</v>
      </c>
      <c r="B282" s="181" t="s">
        <v>1221</v>
      </c>
      <c r="C282" s="176">
        <f>ORÇAMENTO!F95</f>
        <v>0</v>
      </c>
      <c r="D282" s="207">
        <v>18</v>
      </c>
      <c r="E282" s="5"/>
    </row>
    <row r="283" spans="1:5" x14ac:dyDescent="0.25">
      <c r="A283" s="193" t="s">
        <v>100</v>
      </c>
      <c r="B283" s="206" t="s">
        <v>1222</v>
      </c>
      <c r="C283" s="176" t="str">
        <f>ORÇAMENTO!F96</f>
        <v>und.</v>
      </c>
      <c r="D283" s="193">
        <v>38</v>
      </c>
      <c r="E283" s="5"/>
    </row>
    <row r="284" spans="1:5" x14ac:dyDescent="0.25">
      <c r="A284" s="176" t="s">
        <v>101</v>
      </c>
      <c r="B284" s="181" t="s">
        <v>1164</v>
      </c>
      <c r="C284" s="176" t="str">
        <f>ORÇAMENTO!F97</f>
        <v>und.</v>
      </c>
      <c r="D284" s="207">
        <v>9</v>
      </c>
      <c r="E284" s="5"/>
    </row>
    <row r="285" spans="1:5" x14ac:dyDescent="0.25">
      <c r="A285" s="193" t="s">
        <v>102</v>
      </c>
      <c r="B285" s="206" t="s">
        <v>1163</v>
      </c>
      <c r="C285" s="176" t="str">
        <f>ORÇAMENTO!F98</f>
        <v>und.</v>
      </c>
      <c r="D285" s="193">
        <v>5</v>
      </c>
      <c r="E285" s="5"/>
    </row>
    <row r="286" spans="1:5" x14ac:dyDescent="0.25">
      <c r="A286" s="176" t="s">
        <v>103</v>
      </c>
      <c r="B286" s="206" t="s">
        <v>1162</v>
      </c>
      <c r="C286" s="176" t="str">
        <f>ORÇAMENTO!F99</f>
        <v>und.</v>
      </c>
      <c r="D286" s="193">
        <f>87+29</f>
        <v>116</v>
      </c>
      <c r="E286" s="5"/>
    </row>
    <row r="287" spans="1:5" ht="24" x14ac:dyDescent="0.25">
      <c r="A287" s="193" t="s">
        <v>104</v>
      </c>
      <c r="B287" s="206" t="s">
        <v>1247</v>
      </c>
      <c r="C287" s="176" t="str">
        <f>ORÇAMENTO!F100</f>
        <v>und.</v>
      </c>
      <c r="D287" s="193">
        <v>26</v>
      </c>
      <c r="E287" s="5"/>
    </row>
    <row r="288" spans="1:5" x14ac:dyDescent="0.25">
      <c r="A288" s="176" t="s">
        <v>105</v>
      </c>
      <c r="B288" s="206" t="s">
        <v>1248</v>
      </c>
      <c r="C288" s="176" t="str">
        <f>ORÇAMENTO!F101</f>
        <v>und.</v>
      </c>
      <c r="D288" s="193">
        <v>1</v>
      </c>
      <c r="E288" s="5"/>
    </row>
    <row r="289" spans="1:5" ht="24" x14ac:dyDescent="0.25">
      <c r="A289" s="193" t="s">
        <v>106</v>
      </c>
      <c r="B289" s="206" t="s">
        <v>1161</v>
      </c>
      <c r="C289" s="176" t="str">
        <f>ORÇAMENTO!F102</f>
        <v>und.</v>
      </c>
      <c r="D289" s="193">
        <v>1</v>
      </c>
      <c r="E289" s="5"/>
    </row>
    <row r="290" spans="1:5" x14ac:dyDescent="0.25">
      <c r="A290" s="176" t="s">
        <v>107</v>
      </c>
      <c r="B290" s="206" t="s">
        <v>1160</v>
      </c>
      <c r="C290" s="176" t="str">
        <f>ORÇAMENTO!F103</f>
        <v>und.</v>
      </c>
      <c r="D290" s="193">
        <v>3</v>
      </c>
      <c r="E290" s="5"/>
    </row>
    <row r="291" spans="1:5" x14ac:dyDescent="0.25">
      <c r="A291" s="193" t="s">
        <v>1167</v>
      </c>
      <c r="B291" s="206" t="s">
        <v>1159</v>
      </c>
      <c r="C291" s="176" t="str">
        <f>ORÇAMENTO!F104</f>
        <v>und.</v>
      </c>
      <c r="D291" s="193">
        <v>49</v>
      </c>
      <c r="E291" s="5"/>
    </row>
    <row r="292" spans="1:5" x14ac:dyDescent="0.25">
      <c r="A292" s="176" t="s">
        <v>1168</v>
      </c>
      <c r="B292" s="206" t="s">
        <v>1158</v>
      </c>
      <c r="C292" s="176" t="str">
        <f>ORÇAMENTO!F105</f>
        <v>und.</v>
      </c>
      <c r="D292" s="193">
        <v>1</v>
      </c>
      <c r="E292" s="5"/>
    </row>
    <row r="293" spans="1:5" x14ac:dyDescent="0.25">
      <c r="A293" s="193" t="s">
        <v>1169</v>
      </c>
      <c r="B293" s="206" t="s">
        <v>1223</v>
      </c>
      <c r="C293" s="176">
        <f>ORÇAMENTO!F106</f>
        <v>0</v>
      </c>
      <c r="D293" s="193">
        <v>1</v>
      </c>
      <c r="E293" s="5"/>
    </row>
    <row r="294" spans="1:5" x14ac:dyDescent="0.25">
      <c r="A294" s="176" t="s">
        <v>1170</v>
      </c>
      <c r="B294" s="206" t="s">
        <v>1157</v>
      </c>
      <c r="C294" s="176" t="str">
        <f>ORÇAMENTO!F107</f>
        <v>m</v>
      </c>
      <c r="D294" s="193">
        <f>254.6+85.1</f>
        <v>339.7</v>
      </c>
      <c r="E294" s="5"/>
    </row>
    <row r="295" spans="1:5" x14ac:dyDescent="0.25">
      <c r="A295" s="193" t="s">
        <v>1171</v>
      </c>
      <c r="B295" s="206" t="s">
        <v>1156</v>
      </c>
      <c r="C295" s="176" t="str">
        <f>ORÇAMENTO!F108</f>
        <v>m</v>
      </c>
      <c r="D295" s="193">
        <f>1492.8+31.7</f>
        <v>1524.5</v>
      </c>
      <c r="E295" s="5"/>
    </row>
    <row r="296" spans="1:5" x14ac:dyDescent="0.25">
      <c r="A296" s="176" t="s">
        <v>1172</v>
      </c>
      <c r="B296" s="206" t="s">
        <v>1249</v>
      </c>
      <c r="C296" s="176" t="str">
        <f>ORÇAMENTO!F109</f>
        <v>m</v>
      </c>
      <c r="D296" s="193">
        <v>21</v>
      </c>
      <c r="E296" s="5"/>
    </row>
    <row r="297" spans="1:5" x14ac:dyDescent="0.25">
      <c r="A297" s="193" t="s">
        <v>1173</v>
      </c>
      <c r="B297" s="206" t="s">
        <v>1250</v>
      </c>
      <c r="C297" s="176" t="str">
        <f>ORÇAMENTO!F110</f>
        <v>m</v>
      </c>
      <c r="D297" s="193">
        <v>64.2</v>
      </c>
      <c r="E297" s="5"/>
    </row>
    <row r="298" spans="1:5" x14ac:dyDescent="0.25">
      <c r="A298" s="176" t="s">
        <v>1174</v>
      </c>
      <c r="B298" s="206" t="s">
        <v>1155</v>
      </c>
      <c r="C298" s="176" t="str">
        <f>ORÇAMENTO!F111</f>
        <v>m</v>
      </c>
      <c r="D298" s="193">
        <v>54.9</v>
      </c>
      <c r="E298" s="5"/>
    </row>
    <row r="299" spans="1:5" x14ac:dyDescent="0.25">
      <c r="A299" s="193" t="s">
        <v>1175</v>
      </c>
      <c r="B299" s="206" t="s">
        <v>1154</v>
      </c>
      <c r="C299" s="176" t="str">
        <f>ORÇAMENTO!F112</f>
        <v>m</v>
      </c>
      <c r="D299" s="193">
        <v>74.5</v>
      </c>
      <c r="E299" s="5"/>
    </row>
    <row r="300" spans="1:5" x14ac:dyDescent="0.25">
      <c r="A300" s="176" t="s">
        <v>1176</v>
      </c>
      <c r="B300" s="206" t="s">
        <v>1224</v>
      </c>
      <c r="C300" s="176" t="str">
        <f>ORÇAMENTO!F113</f>
        <v>m</v>
      </c>
      <c r="D300" s="193">
        <v>2</v>
      </c>
      <c r="E300" s="5"/>
    </row>
    <row r="301" spans="1:5" x14ac:dyDescent="0.25">
      <c r="A301" s="193" t="s">
        <v>1177</v>
      </c>
      <c r="B301" s="206" t="s">
        <v>1153</v>
      </c>
      <c r="C301" s="176" t="str">
        <f>ORÇAMENTO!F114</f>
        <v>und.</v>
      </c>
      <c r="D301" s="193">
        <v>4</v>
      </c>
      <c r="E301" s="5"/>
    </row>
    <row r="302" spans="1:5" x14ac:dyDescent="0.25">
      <c r="A302" s="176" t="s">
        <v>1178</v>
      </c>
      <c r="B302" s="206" t="s">
        <v>1152</v>
      </c>
      <c r="C302" s="176" t="str">
        <f>ORÇAMENTO!F115</f>
        <v>und.</v>
      </c>
      <c r="D302" s="193">
        <v>6</v>
      </c>
      <c r="E302" s="5"/>
    </row>
    <row r="303" spans="1:5" x14ac:dyDescent="0.25">
      <c r="A303" s="193" t="s">
        <v>1179</v>
      </c>
      <c r="B303" s="206" t="s">
        <v>1151</v>
      </c>
      <c r="C303" s="176" t="str">
        <f>ORÇAMENTO!F116</f>
        <v>und.</v>
      </c>
      <c r="D303" s="193">
        <v>1</v>
      </c>
      <c r="E303" s="5"/>
    </row>
    <row r="304" spans="1:5" ht="24" x14ac:dyDescent="0.25">
      <c r="A304" s="176" t="s">
        <v>1180</v>
      </c>
      <c r="B304" s="181" t="s">
        <v>1225</v>
      </c>
      <c r="C304" s="176" t="str">
        <f>ORÇAMENTO!F117</f>
        <v>und.</v>
      </c>
      <c r="D304" s="207">
        <v>104</v>
      </c>
      <c r="E304" s="5"/>
    </row>
    <row r="305" spans="1:5" x14ac:dyDescent="0.25">
      <c r="A305" s="193" t="s">
        <v>1181</v>
      </c>
      <c r="B305" s="206" t="s">
        <v>1226</v>
      </c>
      <c r="C305" s="176" t="str">
        <f>ORÇAMENTO!F118</f>
        <v>und.</v>
      </c>
      <c r="D305" s="193">
        <v>1</v>
      </c>
      <c r="E305" s="5"/>
    </row>
    <row r="306" spans="1:5" s="94" customFormat="1" x14ac:dyDescent="0.25">
      <c r="A306" s="176" t="s">
        <v>1182</v>
      </c>
      <c r="B306" s="206" t="s">
        <v>1451</v>
      </c>
      <c r="C306" s="176" t="s">
        <v>278</v>
      </c>
      <c r="D306" s="193">
        <v>6</v>
      </c>
    </row>
    <row r="307" spans="1:5" x14ac:dyDescent="0.25">
      <c r="A307" s="193" t="s">
        <v>1183</v>
      </c>
      <c r="B307" s="181" t="s">
        <v>1227</v>
      </c>
      <c r="C307" s="176" t="str">
        <f>ORÇAMENTO!F120</f>
        <v>und.</v>
      </c>
      <c r="D307" s="207">
        <v>54</v>
      </c>
      <c r="E307" s="5"/>
    </row>
    <row r="308" spans="1:5" x14ac:dyDescent="0.25">
      <c r="A308" s="176" t="s">
        <v>1184</v>
      </c>
      <c r="B308" s="206" t="s">
        <v>1228</v>
      </c>
      <c r="C308" s="176" t="str">
        <f>ORÇAMENTO!F121</f>
        <v>und.</v>
      </c>
      <c r="D308" s="193">
        <v>104</v>
      </c>
      <c r="E308" s="5"/>
    </row>
    <row r="309" spans="1:5" x14ac:dyDescent="0.25">
      <c r="A309" s="193" t="s">
        <v>1185</v>
      </c>
      <c r="B309" s="181" t="s">
        <v>1229</v>
      </c>
      <c r="C309" s="176" t="str">
        <f>ORÇAMENTO!F122</f>
        <v>und.</v>
      </c>
      <c r="D309" s="193">
        <v>90</v>
      </c>
      <c r="E309" s="5"/>
    </row>
    <row r="310" spans="1:5" x14ac:dyDescent="0.25">
      <c r="A310" s="176" t="s">
        <v>1186</v>
      </c>
      <c r="B310" s="181" t="s">
        <v>1230</v>
      </c>
      <c r="C310" s="176" t="str">
        <f>ORÇAMENTO!F123</f>
        <v>und.</v>
      </c>
      <c r="D310" s="207">
        <v>208</v>
      </c>
      <c r="E310" s="5"/>
    </row>
    <row r="311" spans="1:5" x14ac:dyDescent="0.25">
      <c r="A311" s="193" t="s">
        <v>1187</v>
      </c>
      <c r="B311" s="181" t="s">
        <v>1251</v>
      </c>
      <c r="C311" s="176" t="str">
        <f>ORÇAMENTO!F124</f>
        <v>und.</v>
      </c>
      <c r="D311" s="193">
        <v>1</v>
      </c>
      <c r="E311" s="5"/>
    </row>
    <row r="312" spans="1:5" x14ac:dyDescent="0.25">
      <c r="A312" s="176" t="s">
        <v>1188</v>
      </c>
      <c r="B312" s="181" t="s">
        <v>1231</v>
      </c>
      <c r="C312" s="176" t="str">
        <f>ORÇAMENTO!F125</f>
        <v>und.</v>
      </c>
      <c r="D312" s="207">
        <v>27</v>
      </c>
      <c r="E312" s="5"/>
    </row>
    <row r="313" spans="1:5" x14ac:dyDescent="0.25">
      <c r="A313" s="193" t="s">
        <v>1189</v>
      </c>
      <c r="B313" s="181" t="s">
        <v>1252</v>
      </c>
      <c r="C313" s="176" t="str">
        <f>ORÇAMENTO!F126</f>
        <v>und.</v>
      </c>
      <c r="D313" s="207">
        <v>1</v>
      </c>
      <c r="E313" s="5"/>
    </row>
    <row r="314" spans="1:5" x14ac:dyDescent="0.25">
      <c r="A314" s="176" t="s">
        <v>1190</v>
      </c>
      <c r="B314" s="181" t="s">
        <v>1232</v>
      </c>
      <c r="C314" s="176" t="str">
        <f>ORÇAMENTO!F127</f>
        <v>und.</v>
      </c>
      <c r="D314" s="193">
        <v>2</v>
      </c>
      <c r="E314" s="5"/>
    </row>
    <row r="315" spans="1:5" x14ac:dyDescent="0.25">
      <c r="A315" s="193" t="s">
        <v>1191</v>
      </c>
      <c r="B315" s="181" t="s">
        <v>1233</v>
      </c>
      <c r="C315" s="176" t="str">
        <f>ORÇAMENTO!F128</f>
        <v>und.</v>
      </c>
      <c r="D315" s="207">
        <v>2</v>
      </c>
      <c r="E315" s="5"/>
    </row>
    <row r="316" spans="1:5" x14ac:dyDescent="0.25">
      <c r="A316" s="176" t="s">
        <v>1192</v>
      </c>
      <c r="B316" s="181" t="s">
        <v>1234</v>
      </c>
      <c r="C316" s="176" t="str">
        <f>ORÇAMENTO!F129</f>
        <v>m</v>
      </c>
      <c r="D316" s="193">
        <v>21</v>
      </c>
      <c r="E316" s="5"/>
    </row>
    <row r="317" spans="1:5" x14ac:dyDescent="0.25">
      <c r="A317" s="193" t="s">
        <v>1193</v>
      </c>
      <c r="B317" s="206" t="s">
        <v>1235</v>
      </c>
      <c r="C317" s="176" t="str">
        <f>ORÇAMENTO!F130</f>
        <v>m</v>
      </c>
      <c r="D317" s="193">
        <v>28</v>
      </c>
      <c r="E317" s="5"/>
    </row>
    <row r="318" spans="1:5" x14ac:dyDescent="0.25">
      <c r="A318" s="176" t="s">
        <v>1194</v>
      </c>
      <c r="B318" s="206" t="s">
        <v>1236</v>
      </c>
      <c r="C318" s="176" t="str">
        <f>ORÇAMENTO!F131</f>
        <v>und.</v>
      </c>
      <c r="D318" s="193">
        <v>3</v>
      </c>
      <c r="E318" s="5"/>
    </row>
    <row r="319" spans="1:5" x14ac:dyDescent="0.25">
      <c r="A319" s="193" t="s">
        <v>1195</v>
      </c>
      <c r="B319" s="181" t="s">
        <v>1238</v>
      </c>
      <c r="C319" s="176" t="str">
        <f>ORÇAMENTO!F132</f>
        <v>und.</v>
      </c>
      <c r="D319" s="193">
        <v>15</v>
      </c>
      <c r="E319" s="5"/>
    </row>
    <row r="320" spans="1:5" x14ac:dyDescent="0.25">
      <c r="A320" s="176" t="s">
        <v>1196</v>
      </c>
      <c r="B320" s="181" t="s">
        <v>1240</v>
      </c>
      <c r="C320" s="176" t="str">
        <f>ORÇAMENTO!F133</f>
        <v>und.</v>
      </c>
      <c r="D320" s="193">
        <v>8</v>
      </c>
      <c r="E320" s="5"/>
    </row>
    <row r="321" spans="1:5" x14ac:dyDescent="0.25">
      <c r="A321" s="193" t="s">
        <v>1197</v>
      </c>
      <c r="B321" s="181" t="s">
        <v>1241</v>
      </c>
      <c r="C321" s="176" t="str">
        <f>ORÇAMENTO!F134</f>
        <v>und.</v>
      </c>
      <c r="D321" s="207">
        <v>4</v>
      </c>
      <c r="E321" s="5"/>
    </row>
    <row r="322" spans="1:5" x14ac:dyDescent="0.25">
      <c r="A322" s="176" t="s">
        <v>1198</v>
      </c>
      <c r="B322" s="181" t="s">
        <v>1242</v>
      </c>
      <c r="C322" s="176" t="str">
        <f>ORÇAMENTO!F135</f>
        <v>m</v>
      </c>
      <c r="D322" s="193">
        <v>205.8</v>
      </c>
      <c r="E322" s="5"/>
    </row>
    <row r="323" spans="1:5" x14ac:dyDescent="0.25">
      <c r="A323" s="193" t="s">
        <v>1199</v>
      </c>
      <c r="B323" s="181" t="s">
        <v>1243</v>
      </c>
      <c r="C323" s="176" t="str">
        <f>ORÇAMENTO!F136</f>
        <v>m</v>
      </c>
      <c r="D323" s="193">
        <v>205.8</v>
      </c>
      <c r="E323" s="5"/>
    </row>
    <row r="324" spans="1:5" ht="24" x14ac:dyDescent="0.25">
      <c r="A324" s="176" t="s">
        <v>1200</v>
      </c>
      <c r="B324" s="181" t="s">
        <v>1244</v>
      </c>
      <c r="C324" s="176" t="str">
        <f>ORÇAMENTO!F137</f>
        <v>und.</v>
      </c>
      <c r="D324" s="207">
        <v>30</v>
      </c>
      <c r="E324" s="5"/>
    </row>
    <row r="325" spans="1:5" ht="18.75" customHeight="1" thickBot="1" x14ac:dyDescent="0.3">
      <c r="A325" s="193" t="s">
        <v>1452</v>
      </c>
      <c r="B325" s="181" t="s">
        <v>1254</v>
      </c>
      <c r="C325" s="176" t="str">
        <f>ORÇAMENTO!F138</f>
        <v>und.</v>
      </c>
      <c r="D325" s="207">
        <v>16</v>
      </c>
      <c r="E325" s="5"/>
    </row>
    <row r="326" spans="1:5" ht="15.75" thickBot="1" x14ac:dyDescent="0.3">
      <c r="A326" s="169">
        <v>7</v>
      </c>
      <c r="B326" s="227" t="s">
        <v>359</v>
      </c>
      <c r="C326" s="171"/>
      <c r="D326" s="171"/>
      <c r="E326" s="5"/>
    </row>
    <row r="327" spans="1:5" ht="15.75" thickBot="1" x14ac:dyDescent="0.3">
      <c r="A327" s="172" t="s">
        <v>2</v>
      </c>
      <c r="B327" s="172" t="s">
        <v>316</v>
      </c>
      <c r="C327" s="172" t="s">
        <v>317</v>
      </c>
      <c r="D327" s="172" t="s">
        <v>318</v>
      </c>
      <c r="E327" s="5"/>
    </row>
    <row r="328" spans="1:5" s="85" customFormat="1" x14ac:dyDescent="0.25">
      <c r="A328" s="228" t="s">
        <v>109</v>
      </c>
      <c r="B328" s="229" t="s">
        <v>505</v>
      </c>
      <c r="C328" s="230"/>
      <c r="D328" s="230"/>
    </row>
    <row r="329" spans="1:5" s="85" customFormat="1" x14ac:dyDescent="0.25">
      <c r="A329" s="228" t="s">
        <v>110</v>
      </c>
      <c r="B329" s="231" t="s">
        <v>506</v>
      </c>
      <c r="C329" s="230"/>
      <c r="D329" s="230"/>
    </row>
    <row r="330" spans="1:5" s="85" customFormat="1" ht="24" x14ac:dyDescent="0.25">
      <c r="A330" s="228" t="s">
        <v>111</v>
      </c>
      <c r="B330" s="229" t="s">
        <v>507</v>
      </c>
      <c r="C330" s="230" t="s">
        <v>278</v>
      </c>
      <c r="D330" s="230">
        <v>17</v>
      </c>
    </row>
    <row r="331" spans="1:5" s="85" customFormat="1" x14ac:dyDescent="0.25">
      <c r="A331" s="228" t="s">
        <v>1381</v>
      </c>
      <c r="B331" s="231" t="s">
        <v>508</v>
      </c>
      <c r="C331" s="230" t="s">
        <v>278</v>
      </c>
      <c r="D331" s="230">
        <v>17</v>
      </c>
    </row>
    <row r="332" spans="1:5" s="85" customFormat="1" x14ac:dyDescent="0.25">
      <c r="A332" s="228" t="s">
        <v>1382</v>
      </c>
      <c r="B332" s="229" t="s">
        <v>509</v>
      </c>
      <c r="C332" s="230" t="s">
        <v>278</v>
      </c>
      <c r="D332" s="230">
        <v>17</v>
      </c>
    </row>
    <row r="333" spans="1:5" s="85" customFormat="1" x14ac:dyDescent="0.25">
      <c r="A333" s="228" t="s">
        <v>113</v>
      </c>
      <c r="B333" s="231" t="s">
        <v>510</v>
      </c>
      <c r="C333" s="230"/>
      <c r="D333" s="230"/>
    </row>
    <row r="334" spans="1:5" s="85" customFormat="1" x14ac:dyDescent="0.25">
      <c r="A334" s="228" t="s">
        <v>114</v>
      </c>
      <c r="B334" s="231" t="s">
        <v>511</v>
      </c>
      <c r="C334" s="230" t="s">
        <v>512</v>
      </c>
      <c r="D334" s="230">
        <v>9</v>
      </c>
    </row>
    <row r="335" spans="1:5" s="85" customFormat="1" x14ac:dyDescent="0.25">
      <c r="A335" s="228" t="s">
        <v>115</v>
      </c>
      <c r="B335" s="231" t="s">
        <v>513</v>
      </c>
      <c r="C335" s="230" t="s">
        <v>512</v>
      </c>
      <c r="D335" s="230">
        <v>7</v>
      </c>
    </row>
    <row r="336" spans="1:5" s="85" customFormat="1" x14ac:dyDescent="0.25">
      <c r="A336" s="228" t="s">
        <v>116</v>
      </c>
      <c r="B336" s="232" t="s">
        <v>514</v>
      </c>
      <c r="C336" s="230" t="s">
        <v>278</v>
      </c>
      <c r="D336" s="230">
        <v>50</v>
      </c>
    </row>
    <row r="337" spans="1:4" s="85" customFormat="1" x14ac:dyDescent="0.25">
      <c r="A337" s="228" t="s">
        <v>117</v>
      </c>
      <c r="B337" s="229" t="s">
        <v>515</v>
      </c>
      <c r="C337" s="230" t="s">
        <v>452</v>
      </c>
      <c r="D337" s="230">
        <f>D334+D335</f>
        <v>16</v>
      </c>
    </row>
    <row r="338" spans="1:4" s="85" customFormat="1" x14ac:dyDescent="0.25">
      <c r="A338" s="228" t="s">
        <v>1383</v>
      </c>
      <c r="B338" s="229" t="s">
        <v>1075</v>
      </c>
      <c r="C338" s="230" t="s">
        <v>278</v>
      </c>
      <c r="D338" s="230">
        <v>27</v>
      </c>
    </row>
    <row r="339" spans="1:4" s="85" customFormat="1" x14ac:dyDescent="0.25">
      <c r="A339" s="228" t="s">
        <v>118</v>
      </c>
      <c r="B339" s="229" t="s">
        <v>1255</v>
      </c>
      <c r="C339" s="230" t="s">
        <v>278</v>
      </c>
      <c r="D339" s="230">
        <v>23</v>
      </c>
    </row>
    <row r="340" spans="1:4" s="85" customFormat="1" x14ac:dyDescent="0.25">
      <c r="A340" s="228" t="s">
        <v>119</v>
      </c>
      <c r="B340" s="231" t="s">
        <v>516</v>
      </c>
      <c r="C340" s="230" t="s">
        <v>278</v>
      </c>
      <c r="D340" s="230">
        <v>27</v>
      </c>
    </row>
    <row r="341" spans="1:4" s="85" customFormat="1" x14ac:dyDescent="0.25">
      <c r="A341" s="228" t="s">
        <v>120</v>
      </c>
      <c r="B341" s="231" t="s">
        <v>1076</v>
      </c>
      <c r="C341" s="230" t="s">
        <v>278</v>
      </c>
      <c r="D341" s="230">
        <f>27+5</f>
        <v>32</v>
      </c>
    </row>
    <row r="342" spans="1:4" s="85" customFormat="1" ht="24" x14ac:dyDescent="0.25">
      <c r="A342" s="228" t="s">
        <v>121</v>
      </c>
      <c r="B342" s="231" t="s">
        <v>1077</v>
      </c>
      <c r="C342" s="230" t="s">
        <v>278</v>
      </c>
      <c r="D342" s="230">
        <v>4</v>
      </c>
    </row>
    <row r="343" spans="1:4" s="85" customFormat="1" x14ac:dyDescent="0.25">
      <c r="A343" s="228" t="s">
        <v>122</v>
      </c>
      <c r="B343" s="231" t="s">
        <v>517</v>
      </c>
      <c r="C343" s="230" t="s">
        <v>278</v>
      </c>
      <c r="D343" s="230">
        <v>11</v>
      </c>
    </row>
    <row r="344" spans="1:4" s="85" customFormat="1" x14ac:dyDescent="0.25">
      <c r="A344" s="228" t="s">
        <v>123</v>
      </c>
      <c r="B344" s="231" t="s">
        <v>518</v>
      </c>
      <c r="C344" s="230" t="s">
        <v>278</v>
      </c>
      <c r="D344" s="230">
        <v>21</v>
      </c>
    </row>
    <row r="345" spans="1:4" s="85" customFormat="1" x14ac:dyDescent="0.25">
      <c r="A345" s="228" t="s">
        <v>124</v>
      </c>
      <c r="B345" s="231" t="s">
        <v>519</v>
      </c>
      <c r="C345" s="230" t="s">
        <v>278</v>
      </c>
      <c r="D345" s="230">
        <v>2</v>
      </c>
    </row>
    <row r="346" spans="1:4" s="85" customFormat="1" x14ac:dyDescent="0.25">
      <c r="A346" s="228" t="s">
        <v>125</v>
      </c>
      <c r="B346" s="231" t="s">
        <v>520</v>
      </c>
      <c r="C346" s="230" t="s">
        <v>278</v>
      </c>
      <c r="D346" s="230">
        <v>4</v>
      </c>
    </row>
    <row r="347" spans="1:4" s="85" customFormat="1" x14ac:dyDescent="0.25">
      <c r="A347" s="228" t="s">
        <v>126</v>
      </c>
      <c r="B347" s="231" t="s">
        <v>1256</v>
      </c>
      <c r="C347" s="230" t="s">
        <v>278</v>
      </c>
      <c r="D347" s="230">
        <f>D344+D345</f>
        <v>23</v>
      </c>
    </row>
    <row r="348" spans="1:4" s="85" customFormat="1" x14ac:dyDescent="0.25">
      <c r="A348" s="228" t="s">
        <v>127</v>
      </c>
      <c r="B348" s="231" t="s">
        <v>521</v>
      </c>
      <c r="C348" s="230"/>
      <c r="D348" s="230"/>
    </row>
    <row r="349" spans="1:4" s="85" customFormat="1" x14ac:dyDescent="0.25">
      <c r="A349" s="228" t="s">
        <v>128</v>
      </c>
      <c r="B349" s="231" t="s">
        <v>522</v>
      </c>
      <c r="C349" s="230" t="s">
        <v>278</v>
      </c>
      <c r="D349" s="230">
        <v>2</v>
      </c>
    </row>
    <row r="350" spans="1:4" s="85" customFormat="1" x14ac:dyDescent="0.25">
      <c r="A350" s="228" t="s">
        <v>129</v>
      </c>
      <c r="B350" s="231" t="s">
        <v>523</v>
      </c>
      <c r="C350" s="230" t="s">
        <v>278</v>
      </c>
      <c r="D350" s="230">
        <v>2</v>
      </c>
    </row>
    <row r="351" spans="1:4" s="85" customFormat="1" ht="24" x14ac:dyDescent="0.25">
      <c r="A351" s="228" t="s">
        <v>130</v>
      </c>
      <c r="B351" s="231" t="s">
        <v>1113</v>
      </c>
      <c r="C351" s="230" t="s">
        <v>278</v>
      </c>
      <c r="D351" s="230">
        <v>2</v>
      </c>
    </row>
    <row r="352" spans="1:4" s="85" customFormat="1" x14ac:dyDescent="0.25">
      <c r="A352" s="228" t="s">
        <v>131</v>
      </c>
      <c r="B352" s="229" t="s">
        <v>524</v>
      </c>
      <c r="C352" s="230"/>
      <c r="D352" s="230"/>
    </row>
    <row r="353" spans="1:4" s="85" customFormat="1" x14ac:dyDescent="0.25">
      <c r="A353" s="228" t="s">
        <v>1384</v>
      </c>
      <c r="B353" s="229" t="s">
        <v>525</v>
      </c>
      <c r="C353" s="230" t="s">
        <v>278</v>
      </c>
      <c r="D353" s="230">
        <v>22</v>
      </c>
    </row>
    <row r="354" spans="1:4" s="85" customFormat="1" x14ac:dyDescent="0.25">
      <c r="A354" s="228" t="s">
        <v>132</v>
      </c>
      <c r="B354" s="231" t="s">
        <v>526</v>
      </c>
      <c r="C354" s="230"/>
      <c r="D354" s="230"/>
    </row>
    <row r="355" spans="1:4" s="85" customFormat="1" x14ac:dyDescent="0.25">
      <c r="A355" s="228" t="s">
        <v>133</v>
      </c>
      <c r="B355" s="231" t="s">
        <v>527</v>
      </c>
      <c r="C355" s="230" t="s">
        <v>278</v>
      </c>
      <c r="D355" s="230">
        <v>10</v>
      </c>
    </row>
    <row r="356" spans="1:4" s="85" customFormat="1" x14ac:dyDescent="0.25">
      <c r="A356" s="228" t="s">
        <v>134</v>
      </c>
      <c r="B356" s="229" t="s">
        <v>528</v>
      </c>
      <c r="C356" s="230"/>
      <c r="D356" s="230"/>
    </row>
    <row r="357" spans="1:4" s="85" customFormat="1" x14ac:dyDescent="0.25">
      <c r="A357" s="228" t="s">
        <v>135</v>
      </c>
      <c r="B357" s="231" t="s">
        <v>529</v>
      </c>
      <c r="C357" s="230" t="s">
        <v>278</v>
      </c>
      <c r="D357" s="230">
        <v>5</v>
      </c>
    </row>
    <row r="358" spans="1:4" s="85" customFormat="1" x14ac:dyDescent="0.25">
      <c r="A358" s="228" t="s">
        <v>136</v>
      </c>
      <c r="B358" s="231" t="s">
        <v>530</v>
      </c>
      <c r="C358" s="230" t="s">
        <v>278</v>
      </c>
      <c r="D358" s="230">
        <v>4</v>
      </c>
    </row>
    <row r="359" spans="1:4" s="85" customFormat="1" x14ac:dyDescent="0.25">
      <c r="A359" s="228" t="s">
        <v>137</v>
      </c>
      <c r="B359" s="229" t="s">
        <v>531</v>
      </c>
      <c r="C359" s="230"/>
      <c r="D359" s="230"/>
    </row>
    <row r="360" spans="1:4" s="85" customFormat="1" x14ac:dyDescent="0.25">
      <c r="A360" s="228" t="s">
        <v>138</v>
      </c>
      <c r="B360" s="231" t="s">
        <v>532</v>
      </c>
      <c r="C360" s="230" t="s">
        <v>278</v>
      </c>
      <c r="D360" s="230">
        <v>7</v>
      </c>
    </row>
    <row r="361" spans="1:4" s="85" customFormat="1" x14ac:dyDescent="0.25">
      <c r="A361" s="228" t="s">
        <v>139</v>
      </c>
      <c r="B361" s="231" t="s">
        <v>533</v>
      </c>
      <c r="C361" s="230" t="s">
        <v>278</v>
      </c>
      <c r="D361" s="230">
        <v>13</v>
      </c>
    </row>
    <row r="362" spans="1:4" s="85" customFormat="1" x14ac:dyDescent="0.25">
      <c r="A362" s="228" t="s">
        <v>140</v>
      </c>
      <c r="B362" s="231" t="s">
        <v>534</v>
      </c>
      <c r="C362" s="230" t="s">
        <v>278</v>
      </c>
      <c r="D362" s="230">
        <v>1</v>
      </c>
    </row>
    <row r="363" spans="1:4" s="85" customFormat="1" x14ac:dyDescent="0.25">
      <c r="A363" s="228" t="s">
        <v>141</v>
      </c>
      <c r="B363" s="231" t="s">
        <v>535</v>
      </c>
      <c r="C363" s="230" t="s">
        <v>278</v>
      </c>
      <c r="D363" s="230">
        <v>22</v>
      </c>
    </row>
    <row r="364" spans="1:4" s="85" customFormat="1" x14ac:dyDescent="0.25">
      <c r="A364" s="228" t="s">
        <v>142</v>
      </c>
      <c r="B364" s="229" t="s">
        <v>536</v>
      </c>
      <c r="C364" s="230" t="s">
        <v>278</v>
      </c>
      <c r="D364" s="230">
        <v>7</v>
      </c>
    </row>
    <row r="365" spans="1:4" s="85" customFormat="1" x14ac:dyDescent="0.25">
      <c r="A365" s="228" t="s">
        <v>143</v>
      </c>
      <c r="B365" s="232" t="s">
        <v>537</v>
      </c>
      <c r="C365" s="230" t="s">
        <v>278</v>
      </c>
      <c r="D365" s="230">
        <v>20</v>
      </c>
    </row>
    <row r="366" spans="1:4" s="85" customFormat="1" x14ac:dyDescent="0.25">
      <c r="A366" s="228" t="s">
        <v>144</v>
      </c>
      <c r="B366" s="231" t="s">
        <v>538</v>
      </c>
      <c r="C366" s="230"/>
      <c r="D366" s="230"/>
    </row>
    <row r="367" spans="1:4" s="85" customFormat="1" x14ac:dyDescent="0.25">
      <c r="A367" s="228" t="s">
        <v>145</v>
      </c>
      <c r="B367" s="229" t="s">
        <v>539</v>
      </c>
      <c r="C367" s="230"/>
      <c r="D367" s="230"/>
    </row>
    <row r="368" spans="1:4" s="85" customFormat="1" x14ac:dyDescent="0.25">
      <c r="A368" s="228" t="s">
        <v>146</v>
      </c>
      <c r="B368" s="229" t="s">
        <v>540</v>
      </c>
      <c r="C368" s="230" t="s">
        <v>108</v>
      </c>
      <c r="D368" s="230">
        <v>474.37</v>
      </c>
    </row>
    <row r="369" spans="1:4" s="85" customFormat="1" x14ac:dyDescent="0.25">
      <c r="A369" s="228" t="s">
        <v>1385</v>
      </c>
      <c r="B369" s="231" t="s">
        <v>541</v>
      </c>
      <c r="C369" s="230" t="s">
        <v>108</v>
      </c>
      <c r="D369" s="230">
        <v>253.65</v>
      </c>
    </row>
    <row r="370" spans="1:4" s="85" customFormat="1" x14ac:dyDescent="0.25">
      <c r="A370" s="228" t="s">
        <v>147</v>
      </c>
      <c r="B370" s="231" t="s">
        <v>1257</v>
      </c>
      <c r="C370" s="230" t="s">
        <v>108</v>
      </c>
      <c r="D370" s="230">
        <v>135.44</v>
      </c>
    </row>
    <row r="371" spans="1:4" s="85" customFormat="1" x14ac:dyDescent="0.25">
      <c r="A371" s="228" t="s">
        <v>148</v>
      </c>
      <c r="B371" s="231" t="s">
        <v>542</v>
      </c>
      <c r="C371" s="230" t="s">
        <v>108</v>
      </c>
      <c r="D371" s="230">
        <v>64.260000000000005</v>
      </c>
    </row>
    <row r="372" spans="1:4" s="85" customFormat="1" x14ac:dyDescent="0.25">
      <c r="A372" s="228" t="s">
        <v>149</v>
      </c>
      <c r="B372" s="229" t="s">
        <v>543</v>
      </c>
      <c r="C372" s="230"/>
      <c r="D372" s="230"/>
    </row>
    <row r="373" spans="1:4" s="85" customFormat="1" x14ac:dyDescent="0.25">
      <c r="A373" s="228" t="s">
        <v>150</v>
      </c>
      <c r="B373" s="231" t="s">
        <v>544</v>
      </c>
      <c r="C373" s="230" t="s">
        <v>278</v>
      </c>
      <c r="D373" s="230">
        <v>7</v>
      </c>
    </row>
    <row r="374" spans="1:4" s="85" customFormat="1" x14ac:dyDescent="0.25">
      <c r="A374" s="228" t="s">
        <v>151</v>
      </c>
      <c r="B374" s="231" t="s">
        <v>545</v>
      </c>
      <c r="C374" s="230" t="s">
        <v>278</v>
      </c>
      <c r="D374" s="230">
        <v>1</v>
      </c>
    </row>
    <row r="375" spans="1:4" s="85" customFormat="1" x14ac:dyDescent="0.25">
      <c r="A375" s="228" t="s">
        <v>152</v>
      </c>
      <c r="B375" s="229" t="s">
        <v>546</v>
      </c>
      <c r="C375" s="230" t="s">
        <v>278</v>
      </c>
      <c r="D375" s="230">
        <v>78</v>
      </c>
    </row>
    <row r="376" spans="1:4" s="85" customFormat="1" x14ac:dyDescent="0.25">
      <c r="A376" s="228" t="s">
        <v>153</v>
      </c>
      <c r="B376" s="231" t="s">
        <v>547</v>
      </c>
      <c r="C376" s="230" t="s">
        <v>278</v>
      </c>
      <c r="D376" s="230">
        <v>14</v>
      </c>
    </row>
    <row r="377" spans="1:4" s="85" customFormat="1" x14ac:dyDescent="0.25">
      <c r="A377" s="228" t="s">
        <v>154</v>
      </c>
      <c r="B377" s="231" t="s">
        <v>548</v>
      </c>
      <c r="C377" s="230" t="s">
        <v>278</v>
      </c>
      <c r="D377" s="230">
        <v>26</v>
      </c>
    </row>
    <row r="378" spans="1:4" s="85" customFormat="1" x14ac:dyDescent="0.25">
      <c r="A378" s="228" t="s">
        <v>155</v>
      </c>
      <c r="B378" s="231" t="s">
        <v>549</v>
      </c>
      <c r="C378" s="230" t="s">
        <v>278</v>
      </c>
      <c r="D378" s="230">
        <v>2</v>
      </c>
    </row>
    <row r="379" spans="1:4" s="85" customFormat="1" x14ac:dyDescent="0.25">
      <c r="A379" s="228" t="s">
        <v>156</v>
      </c>
      <c r="B379" s="229" t="s">
        <v>550</v>
      </c>
      <c r="C379" s="230"/>
      <c r="D379" s="230"/>
    </row>
    <row r="380" spans="1:4" s="85" customFormat="1" x14ac:dyDescent="0.25">
      <c r="A380" s="228" t="s">
        <v>157</v>
      </c>
      <c r="B380" s="229" t="s">
        <v>551</v>
      </c>
      <c r="C380" s="230" t="s">
        <v>278</v>
      </c>
      <c r="D380" s="230">
        <v>1</v>
      </c>
    </row>
    <row r="381" spans="1:4" s="85" customFormat="1" x14ac:dyDescent="0.25">
      <c r="A381" s="228" t="s">
        <v>158</v>
      </c>
      <c r="B381" s="232" t="s">
        <v>552</v>
      </c>
      <c r="C381" s="230" t="s">
        <v>278</v>
      </c>
      <c r="D381" s="230">
        <v>26</v>
      </c>
    </row>
    <row r="382" spans="1:4" s="85" customFormat="1" x14ac:dyDescent="0.25">
      <c r="A382" s="228" t="s">
        <v>159</v>
      </c>
      <c r="B382" s="231" t="s">
        <v>553</v>
      </c>
      <c r="C382" s="230"/>
      <c r="D382" s="230"/>
    </row>
    <row r="383" spans="1:4" s="85" customFormat="1" x14ac:dyDescent="0.25">
      <c r="A383" s="228" t="s">
        <v>160</v>
      </c>
      <c r="B383" s="229" t="s">
        <v>1258</v>
      </c>
      <c r="C383" s="230" t="s">
        <v>278</v>
      </c>
      <c r="D383" s="230">
        <v>6</v>
      </c>
    </row>
    <row r="384" spans="1:4" s="85" customFormat="1" x14ac:dyDescent="0.25">
      <c r="A384" s="228" t="s">
        <v>161</v>
      </c>
      <c r="B384" s="232" t="s">
        <v>554</v>
      </c>
      <c r="C384" s="230" t="s">
        <v>278</v>
      </c>
      <c r="D384" s="230">
        <v>35</v>
      </c>
    </row>
    <row r="385" spans="1:4" s="85" customFormat="1" x14ac:dyDescent="0.25">
      <c r="A385" s="228" t="s">
        <v>162</v>
      </c>
      <c r="B385" s="232" t="s">
        <v>555</v>
      </c>
      <c r="C385" s="230" t="s">
        <v>278</v>
      </c>
      <c r="D385" s="230">
        <v>2</v>
      </c>
    </row>
    <row r="386" spans="1:4" s="85" customFormat="1" x14ac:dyDescent="0.25">
      <c r="A386" s="228" t="s">
        <v>1386</v>
      </c>
      <c r="B386" s="231" t="s">
        <v>556</v>
      </c>
      <c r="C386" s="230"/>
      <c r="D386" s="230"/>
    </row>
    <row r="387" spans="1:4" s="85" customFormat="1" x14ac:dyDescent="0.25">
      <c r="A387" s="228" t="s">
        <v>163</v>
      </c>
      <c r="B387" s="231" t="s">
        <v>557</v>
      </c>
      <c r="C387" s="230" t="s">
        <v>278</v>
      </c>
      <c r="D387" s="230">
        <v>2</v>
      </c>
    </row>
    <row r="388" spans="1:4" s="85" customFormat="1" x14ac:dyDescent="0.25">
      <c r="A388" s="228" t="s">
        <v>164</v>
      </c>
      <c r="B388" s="231" t="s">
        <v>558</v>
      </c>
      <c r="C388" s="230" t="s">
        <v>278</v>
      </c>
      <c r="D388" s="230">
        <v>2</v>
      </c>
    </row>
    <row r="389" spans="1:4" s="85" customFormat="1" x14ac:dyDescent="0.25">
      <c r="A389" s="228" t="s">
        <v>165</v>
      </c>
      <c r="B389" s="231" t="s">
        <v>559</v>
      </c>
      <c r="C389" s="230" t="s">
        <v>278</v>
      </c>
      <c r="D389" s="230">
        <v>106</v>
      </c>
    </row>
    <row r="390" spans="1:4" s="85" customFormat="1" x14ac:dyDescent="0.25">
      <c r="A390" s="228" t="s">
        <v>166</v>
      </c>
      <c r="B390" s="229" t="s">
        <v>560</v>
      </c>
      <c r="C390" s="230" t="s">
        <v>278</v>
      </c>
      <c r="D390" s="230">
        <v>60</v>
      </c>
    </row>
    <row r="391" spans="1:4" s="85" customFormat="1" x14ac:dyDescent="0.25">
      <c r="A391" s="228" t="s">
        <v>1387</v>
      </c>
      <c r="B391" s="232" t="s">
        <v>561</v>
      </c>
      <c r="C391" s="230" t="s">
        <v>278</v>
      </c>
      <c r="D391" s="230">
        <v>47</v>
      </c>
    </row>
    <row r="392" spans="1:4" s="85" customFormat="1" x14ac:dyDescent="0.25">
      <c r="A392" s="228" t="s">
        <v>1388</v>
      </c>
      <c r="B392" s="232" t="s">
        <v>562</v>
      </c>
      <c r="C392" s="230" t="s">
        <v>278</v>
      </c>
      <c r="D392" s="230">
        <v>7</v>
      </c>
    </row>
    <row r="393" spans="1:4" s="85" customFormat="1" x14ac:dyDescent="0.25">
      <c r="A393" s="228" t="s">
        <v>1389</v>
      </c>
      <c r="B393" s="231" t="s">
        <v>563</v>
      </c>
      <c r="C393" s="230" t="s">
        <v>278</v>
      </c>
      <c r="D393" s="230">
        <v>81</v>
      </c>
    </row>
    <row r="394" spans="1:4" s="85" customFormat="1" x14ac:dyDescent="0.25">
      <c r="A394" s="228" t="s">
        <v>1390</v>
      </c>
      <c r="B394" s="231" t="s">
        <v>564</v>
      </c>
      <c r="C394" s="230" t="s">
        <v>278</v>
      </c>
      <c r="D394" s="230">
        <v>4</v>
      </c>
    </row>
    <row r="395" spans="1:4" s="85" customFormat="1" x14ac:dyDescent="0.25">
      <c r="A395" s="228" t="s">
        <v>1391</v>
      </c>
      <c r="B395" s="229" t="s">
        <v>565</v>
      </c>
      <c r="C395" s="230" t="s">
        <v>278</v>
      </c>
      <c r="D395" s="230">
        <v>8</v>
      </c>
    </row>
    <row r="396" spans="1:4" s="85" customFormat="1" x14ac:dyDescent="0.25">
      <c r="A396" s="228" t="s">
        <v>167</v>
      </c>
      <c r="B396" s="231" t="s">
        <v>566</v>
      </c>
      <c r="C396" s="230"/>
      <c r="D396" s="230"/>
    </row>
    <row r="397" spans="1:4" s="85" customFormat="1" x14ac:dyDescent="0.25">
      <c r="A397" s="228" t="s">
        <v>168</v>
      </c>
      <c r="B397" s="229" t="s">
        <v>567</v>
      </c>
      <c r="C397" s="230" t="s">
        <v>278</v>
      </c>
      <c r="D397" s="230">
        <v>47</v>
      </c>
    </row>
    <row r="398" spans="1:4" s="85" customFormat="1" x14ac:dyDescent="0.25">
      <c r="A398" s="228" t="s">
        <v>169</v>
      </c>
      <c r="B398" s="231" t="s">
        <v>568</v>
      </c>
      <c r="C398" s="230" t="s">
        <v>278</v>
      </c>
      <c r="D398" s="230">
        <v>12</v>
      </c>
    </row>
    <row r="399" spans="1:4" s="85" customFormat="1" x14ac:dyDescent="0.25">
      <c r="A399" s="228" t="s">
        <v>170</v>
      </c>
      <c r="B399" s="231" t="s">
        <v>569</v>
      </c>
      <c r="C399" s="230" t="s">
        <v>278</v>
      </c>
      <c r="D399" s="230">
        <v>21</v>
      </c>
    </row>
    <row r="400" spans="1:4" s="85" customFormat="1" x14ac:dyDescent="0.25">
      <c r="A400" s="228" t="s">
        <v>171</v>
      </c>
      <c r="B400" s="231" t="s">
        <v>570</v>
      </c>
      <c r="C400" s="230" t="s">
        <v>278</v>
      </c>
      <c r="D400" s="230">
        <v>2</v>
      </c>
    </row>
    <row r="401" spans="1:4" s="85" customFormat="1" x14ac:dyDescent="0.25">
      <c r="A401" s="228" t="s">
        <v>172</v>
      </c>
      <c r="B401" s="229" t="s">
        <v>571</v>
      </c>
      <c r="C401" s="230" t="s">
        <v>278</v>
      </c>
      <c r="D401" s="230">
        <v>5</v>
      </c>
    </row>
    <row r="402" spans="1:4" s="85" customFormat="1" x14ac:dyDescent="0.25">
      <c r="A402" s="228" t="s">
        <v>173</v>
      </c>
      <c r="B402" s="232" t="s">
        <v>572</v>
      </c>
      <c r="C402" s="230" t="s">
        <v>278</v>
      </c>
      <c r="D402" s="230">
        <v>16</v>
      </c>
    </row>
    <row r="403" spans="1:4" s="85" customFormat="1" x14ac:dyDescent="0.25">
      <c r="A403" s="228" t="s">
        <v>174</v>
      </c>
      <c r="B403" s="232" t="s">
        <v>573</v>
      </c>
      <c r="C403" s="230" t="s">
        <v>278</v>
      </c>
      <c r="D403" s="230">
        <v>1</v>
      </c>
    </row>
    <row r="404" spans="1:4" s="85" customFormat="1" x14ac:dyDescent="0.25">
      <c r="A404" s="228" t="s">
        <v>175</v>
      </c>
      <c r="B404" s="231" t="s">
        <v>574</v>
      </c>
      <c r="C404" s="230"/>
      <c r="D404" s="230"/>
    </row>
    <row r="405" spans="1:4" customFormat="1" x14ac:dyDescent="0.25">
      <c r="A405" s="228" t="s">
        <v>176</v>
      </c>
      <c r="B405" s="233" t="s">
        <v>553</v>
      </c>
      <c r="C405" s="234"/>
      <c r="D405" s="235"/>
    </row>
    <row r="406" spans="1:4" customFormat="1" x14ac:dyDescent="0.25">
      <c r="A406" s="228" t="s">
        <v>177</v>
      </c>
      <c r="B406" s="233" t="s">
        <v>1078</v>
      </c>
      <c r="C406" s="234" t="s">
        <v>278</v>
      </c>
      <c r="D406" s="235">
        <v>6</v>
      </c>
    </row>
    <row r="407" spans="1:4" customFormat="1" x14ac:dyDescent="0.25">
      <c r="A407" s="228" t="s">
        <v>178</v>
      </c>
      <c r="B407" s="236" t="s">
        <v>575</v>
      </c>
      <c r="C407" s="235"/>
      <c r="D407" s="234"/>
    </row>
    <row r="408" spans="1:4" s="85" customFormat="1" x14ac:dyDescent="0.25">
      <c r="A408" s="228" t="s">
        <v>179</v>
      </c>
      <c r="B408" s="231" t="s">
        <v>1068</v>
      </c>
      <c r="C408" s="234" t="s">
        <v>278</v>
      </c>
      <c r="D408" s="230">
        <v>33</v>
      </c>
    </row>
    <row r="409" spans="1:4" s="85" customFormat="1" x14ac:dyDescent="0.25">
      <c r="A409" s="228" t="s">
        <v>180</v>
      </c>
      <c r="B409" s="231" t="s">
        <v>1069</v>
      </c>
      <c r="C409" s="234" t="s">
        <v>278</v>
      </c>
      <c r="D409" s="230">
        <v>1</v>
      </c>
    </row>
    <row r="410" spans="1:4" s="85" customFormat="1" x14ac:dyDescent="0.25">
      <c r="A410" s="228" t="s">
        <v>181</v>
      </c>
      <c r="B410" s="231" t="s">
        <v>1070</v>
      </c>
      <c r="C410" s="234" t="s">
        <v>278</v>
      </c>
      <c r="D410" s="230">
        <v>24</v>
      </c>
    </row>
    <row r="411" spans="1:4" s="85" customFormat="1" x14ac:dyDescent="0.25">
      <c r="A411" s="228" t="s">
        <v>182</v>
      </c>
      <c r="B411" s="231" t="s">
        <v>1079</v>
      </c>
      <c r="C411" s="234"/>
      <c r="D411" s="230"/>
    </row>
    <row r="412" spans="1:4" s="85" customFormat="1" x14ac:dyDescent="0.25">
      <c r="A412" s="228" t="s">
        <v>183</v>
      </c>
      <c r="B412" s="231" t="s">
        <v>1082</v>
      </c>
      <c r="C412" s="234" t="s">
        <v>278</v>
      </c>
      <c r="D412" s="230">
        <v>4</v>
      </c>
    </row>
    <row r="413" spans="1:4" s="85" customFormat="1" x14ac:dyDescent="0.25">
      <c r="A413" s="228" t="s">
        <v>222</v>
      </c>
      <c r="B413" s="231" t="s">
        <v>1080</v>
      </c>
      <c r="C413" s="234" t="s">
        <v>278</v>
      </c>
      <c r="D413" s="230">
        <v>9</v>
      </c>
    </row>
    <row r="414" spans="1:4" s="85" customFormat="1" ht="24" x14ac:dyDescent="0.25">
      <c r="A414" s="228" t="s">
        <v>223</v>
      </c>
      <c r="B414" s="231" t="s">
        <v>1081</v>
      </c>
      <c r="C414" s="234" t="s">
        <v>278</v>
      </c>
      <c r="D414" s="230">
        <v>5</v>
      </c>
    </row>
    <row r="415" spans="1:4" s="85" customFormat="1" x14ac:dyDescent="0.25">
      <c r="A415" s="228" t="s">
        <v>224</v>
      </c>
      <c r="B415" s="231" t="s">
        <v>1083</v>
      </c>
      <c r="C415" s="234" t="s">
        <v>278</v>
      </c>
      <c r="D415" s="230">
        <v>90</v>
      </c>
    </row>
    <row r="416" spans="1:4" s="85" customFormat="1" x14ac:dyDescent="0.25">
      <c r="A416" s="228" t="s">
        <v>225</v>
      </c>
      <c r="B416" s="231" t="s">
        <v>1084</v>
      </c>
      <c r="C416" s="234" t="s">
        <v>278</v>
      </c>
      <c r="D416" s="230">
        <v>12</v>
      </c>
    </row>
    <row r="417" spans="1:4" s="85" customFormat="1" x14ac:dyDescent="0.25">
      <c r="A417" s="228" t="s">
        <v>226</v>
      </c>
      <c r="B417" s="231" t="str">
        <f>ORÇAMENTO!D231</f>
        <v>CURVA 90 GRAUS CURTA DIAM. 100 MM</v>
      </c>
      <c r="C417" s="234" t="s">
        <v>278</v>
      </c>
      <c r="D417" s="230">
        <v>38</v>
      </c>
    </row>
    <row r="418" spans="1:4" customFormat="1" x14ac:dyDescent="0.25">
      <c r="A418" s="228" t="s">
        <v>227</v>
      </c>
      <c r="B418" s="236" t="s">
        <v>576</v>
      </c>
      <c r="C418" s="234" t="s">
        <v>278</v>
      </c>
      <c r="D418" s="230"/>
    </row>
    <row r="419" spans="1:4" customFormat="1" x14ac:dyDescent="0.25">
      <c r="A419" s="228" t="s">
        <v>472</v>
      </c>
      <c r="B419" s="233" t="s">
        <v>577</v>
      </c>
      <c r="C419" s="234" t="s">
        <v>278</v>
      </c>
      <c r="D419" s="235">
        <f>D410+7</f>
        <v>31</v>
      </c>
    </row>
    <row r="420" spans="1:4" customFormat="1" x14ac:dyDescent="0.25">
      <c r="A420" s="228" t="s">
        <v>473</v>
      </c>
      <c r="B420" s="236" t="s">
        <v>578</v>
      </c>
      <c r="C420" s="235"/>
      <c r="D420" s="234"/>
    </row>
    <row r="421" spans="1:4" s="85" customFormat="1" x14ac:dyDescent="0.25">
      <c r="A421" s="228" t="s">
        <v>474</v>
      </c>
      <c r="B421" s="231" t="s">
        <v>579</v>
      </c>
      <c r="C421" s="230" t="s">
        <v>278</v>
      </c>
      <c r="D421" s="230">
        <v>1</v>
      </c>
    </row>
    <row r="422" spans="1:4" s="85" customFormat="1" x14ac:dyDescent="0.25">
      <c r="A422" s="228" t="s">
        <v>475</v>
      </c>
      <c r="B422" s="229" t="s">
        <v>580</v>
      </c>
      <c r="C422" s="230" t="s">
        <v>278</v>
      </c>
      <c r="D422" s="230">
        <v>1</v>
      </c>
    </row>
    <row r="423" spans="1:4" s="85" customFormat="1" ht="24" x14ac:dyDescent="0.25">
      <c r="A423" s="228" t="s">
        <v>476</v>
      </c>
      <c r="B423" s="232" t="s">
        <v>1402</v>
      </c>
      <c r="C423" s="230" t="s">
        <v>278</v>
      </c>
      <c r="D423" s="230">
        <v>20</v>
      </c>
    </row>
    <row r="424" spans="1:4" s="85" customFormat="1" x14ac:dyDescent="0.25">
      <c r="A424" s="228" t="s">
        <v>477</v>
      </c>
      <c r="B424" s="232" t="s">
        <v>1119</v>
      </c>
      <c r="C424" s="230" t="s">
        <v>278</v>
      </c>
      <c r="D424" s="230">
        <v>2</v>
      </c>
    </row>
    <row r="425" spans="1:4" s="85" customFormat="1" x14ac:dyDescent="0.25">
      <c r="A425" s="228" t="s">
        <v>478</v>
      </c>
      <c r="B425" s="232" t="s">
        <v>1120</v>
      </c>
      <c r="C425" s="230" t="s">
        <v>278</v>
      </c>
      <c r="D425" s="230">
        <v>2</v>
      </c>
    </row>
    <row r="426" spans="1:4" customFormat="1" x14ac:dyDescent="0.25">
      <c r="A426" s="228" t="s">
        <v>479</v>
      </c>
      <c r="B426" s="233" t="s">
        <v>581</v>
      </c>
      <c r="C426" s="234" t="s">
        <v>15</v>
      </c>
      <c r="D426" s="235">
        <f>((0.6*0.6)*15)+((0.8*0.8)*5)</f>
        <v>8.6</v>
      </c>
    </row>
    <row r="427" spans="1:4" customFormat="1" ht="24" x14ac:dyDescent="0.25">
      <c r="A427" s="228" t="s">
        <v>480</v>
      </c>
      <c r="B427" s="236" t="s">
        <v>582</v>
      </c>
      <c r="C427" s="235" t="s">
        <v>52</v>
      </c>
      <c r="D427" s="235">
        <f>(((0.6*0.6)*15)+((0.8*0.8)*5))*0.05</f>
        <v>0.43</v>
      </c>
    </row>
    <row r="428" spans="1:4" customFormat="1" ht="24" x14ac:dyDescent="0.25">
      <c r="A428" s="228" t="s">
        <v>484</v>
      </c>
      <c r="B428" s="233" t="s">
        <v>583</v>
      </c>
      <c r="C428" s="234" t="s">
        <v>15</v>
      </c>
      <c r="D428" s="235">
        <f>((0.6*0.6)*15)+((0.8*0.8)*5)</f>
        <v>8.6</v>
      </c>
    </row>
    <row r="429" spans="1:4" customFormat="1" x14ac:dyDescent="0.25">
      <c r="A429" s="228" t="s">
        <v>485</v>
      </c>
      <c r="B429" s="236" t="s">
        <v>584</v>
      </c>
      <c r="C429" s="235" t="s">
        <v>63</v>
      </c>
      <c r="D429" s="234">
        <f>(((0.6*0.6)*15)*0.6)+(((0.8*0.8)*5)*0.8)</f>
        <v>5.8000000000000007</v>
      </c>
    </row>
    <row r="430" spans="1:4" customFormat="1" x14ac:dyDescent="0.25">
      <c r="A430" s="228" t="s">
        <v>1392</v>
      </c>
      <c r="B430" s="233" t="s">
        <v>1116</v>
      </c>
      <c r="C430" s="234" t="s">
        <v>278</v>
      </c>
      <c r="D430" s="235">
        <v>1</v>
      </c>
    </row>
    <row r="431" spans="1:4" s="85" customFormat="1" x14ac:dyDescent="0.25">
      <c r="A431" s="228" t="s">
        <v>486</v>
      </c>
      <c r="B431" s="229" t="s">
        <v>585</v>
      </c>
      <c r="C431" s="230" t="s">
        <v>278</v>
      </c>
      <c r="D431" s="230">
        <v>7</v>
      </c>
    </row>
    <row r="432" spans="1:4" customFormat="1" ht="24" customHeight="1" x14ac:dyDescent="0.25">
      <c r="A432" s="228" t="s">
        <v>487</v>
      </c>
      <c r="B432" s="229" t="s">
        <v>1378</v>
      </c>
      <c r="C432" s="235" t="s">
        <v>278</v>
      </c>
      <c r="D432" s="235">
        <v>1</v>
      </c>
    </row>
    <row r="433" spans="1:4" customFormat="1" x14ac:dyDescent="0.25">
      <c r="A433" s="228" t="s">
        <v>488</v>
      </c>
      <c r="B433" s="233" t="s">
        <v>586</v>
      </c>
      <c r="C433" s="234" t="s">
        <v>278</v>
      </c>
      <c r="D433" s="235">
        <v>13</v>
      </c>
    </row>
    <row r="434" spans="1:4" customFormat="1" x14ac:dyDescent="0.25">
      <c r="A434" s="228" t="s">
        <v>489</v>
      </c>
      <c r="B434" s="236" t="s">
        <v>1115</v>
      </c>
      <c r="C434" s="235" t="s">
        <v>278</v>
      </c>
      <c r="D434" s="234">
        <v>1</v>
      </c>
    </row>
    <row r="435" spans="1:4" customFormat="1" x14ac:dyDescent="0.25">
      <c r="A435" s="228" t="s">
        <v>490</v>
      </c>
      <c r="B435" s="237" t="s">
        <v>1117</v>
      </c>
      <c r="C435" s="235" t="s">
        <v>278</v>
      </c>
      <c r="D435" s="234">
        <v>7</v>
      </c>
    </row>
    <row r="436" spans="1:4" s="85" customFormat="1" x14ac:dyDescent="0.25">
      <c r="A436" s="228" t="s">
        <v>491</v>
      </c>
      <c r="B436" s="232" t="s">
        <v>587</v>
      </c>
      <c r="C436" s="230" t="s">
        <v>278</v>
      </c>
      <c r="D436" s="230">
        <v>5</v>
      </c>
    </row>
    <row r="437" spans="1:4" customFormat="1" ht="24" x14ac:dyDescent="0.25">
      <c r="A437" s="228" t="s">
        <v>492</v>
      </c>
      <c r="B437" s="238" t="s">
        <v>588</v>
      </c>
      <c r="C437" s="235" t="s">
        <v>278</v>
      </c>
      <c r="D437" s="235">
        <v>1</v>
      </c>
    </row>
    <row r="438" spans="1:4" customFormat="1" x14ac:dyDescent="0.25">
      <c r="A438" s="228" t="s">
        <v>493</v>
      </c>
      <c r="B438" s="238" t="s">
        <v>1122</v>
      </c>
      <c r="C438" s="235" t="s">
        <v>278</v>
      </c>
      <c r="D438" s="235">
        <v>7</v>
      </c>
    </row>
    <row r="439" spans="1:4" customFormat="1" x14ac:dyDescent="0.25">
      <c r="A439" s="228" t="s">
        <v>494</v>
      </c>
      <c r="B439" s="233" t="s">
        <v>556</v>
      </c>
      <c r="C439" s="234"/>
      <c r="D439" s="235"/>
    </row>
    <row r="440" spans="1:4" customFormat="1" x14ac:dyDescent="0.25">
      <c r="A440" s="228" t="s">
        <v>495</v>
      </c>
      <c r="B440" s="236" t="s">
        <v>589</v>
      </c>
      <c r="C440" s="235" t="s">
        <v>278</v>
      </c>
      <c r="D440" s="235">
        <v>64</v>
      </c>
    </row>
    <row r="441" spans="1:4" customFormat="1" x14ac:dyDescent="0.25">
      <c r="A441" s="228" t="s">
        <v>496</v>
      </c>
      <c r="B441" s="233" t="s">
        <v>590</v>
      </c>
      <c r="C441" s="234" t="s">
        <v>278</v>
      </c>
      <c r="D441" s="235">
        <v>2</v>
      </c>
    </row>
    <row r="442" spans="1:4" customFormat="1" x14ac:dyDescent="0.25">
      <c r="A442" s="228" t="s">
        <v>497</v>
      </c>
      <c r="B442" s="236" t="s">
        <v>591</v>
      </c>
      <c r="C442" s="235" t="s">
        <v>278</v>
      </c>
      <c r="D442" s="235">
        <v>61</v>
      </c>
    </row>
    <row r="443" spans="1:4" customFormat="1" x14ac:dyDescent="0.25">
      <c r="A443" s="228" t="s">
        <v>498</v>
      </c>
      <c r="B443" s="233" t="s">
        <v>1086</v>
      </c>
      <c r="C443" s="234" t="s">
        <v>278</v>
      </c>
      <c r="D443" s="235">
        <v>17</v>
      </c>
    </row>
    <row r="444" spans="1:4" customFormat="1" x14ac:dyDescent="0.25">
      <c r="A444" s="228" t="s">
        <v>499</v>
      </c>
      <c r="B444" s="233" t="s">
        <v>1085</v>
      </c>
      <c r="C444" s="234" t="s">
        <v>278</v>
      </c>
      <c r="D444" s="235">
        <v>1</v>
      </c>
    </row>
    <row r="445" spans="1:4" customFormat="1" x14ac:dyDescent="0.25">
      <c r="A445" s="228" t="s">
        <v>500</v>
      </c>
      <c r="B445" s="236" t="s">
        <v>592</v>
      </c>
      <c r="C445" s="235" t="s">
        <v>278</v>
      </c>
      <c r="D445" s="235">
        <v>1</v>
      </c>
    </row>
    <row r="446" spans="1:4" customFormat="1" x14ac:dyDescent="0.25">
      <c r="A446" s="228" t="s">
        <v>501</v>
      </c>
      <c r="B446" s="233" t="s">
        <v>593</v>
      </c>
      <c r="C446" s="234" t="s">
        <v>278</v>
      </c>
      <c r="D446" s="235">
        <v>28</v>
      </c>
    </row>
    <row r="447" spans="1:4" customFormat="1" x14ac:dyDescent="0.25">
      <c r="A447" s="228" t="s">
        <v>1393</v>
      </c>
      <c r="B447" s="236" t="s">
        <v>594</v>
      </c>
      <c r="C447" s="235" t="s">
        <v>278</v>
      </c>
      <c r="D447" s="235">
        <v>15</v>
      </c>
    </row>
    <row r="448" spans="1:4" customFormat="1" x14ac:dyDescent="0.25">
      <c r="A448" s="228" t="s">
        <v>502</v>
      </c>
      <c r="B448" s="233" t="s">
        <v>595</v>
      </c>
      <c r="C448" s="234"/>
      <c r="D448" s="235"/>
    </row>
    <row r="449" spans="1:4" customFormat="1" x14ac:dyDescent="0.25">
      <c r="A449" s="228" t="s">
        <v>503</v>
      </c>
      <c r="B449" s="233" t="s">
        <v>1118</v>
      </c>
      <c r="C449" s="235" t="s">
        <v>278</v>
      </c>
      <c r="D449" s="235">
        <v>13</v>
      </c>
    </row>
    <row r="450" spans="1:4" customFormat="1" x14ac:dyDescent="0.25">
      <c r="A450" s="228" t="s">
        <v>504</v>
      </c>
      <c r="B450" s="233" t="s">
        <v>1088</v>
      </c>
      <c r="C450" s="235" t="s">
        <v>278</v>
      </c>
      <c r="D450" s="235">
        <v>8</v>
      </c>
    </row>
    <row r="451" spans="1:4" customFormat="1" x14ac:dyDescent="0.25">
      <c r="A451" s="228" t="s">
        <v>1394</v>
      </c>
      <c r="B451" s="233" t="s">
        <v>1089</v>
      </c>
      <c r="C451" s="235" t="s">
        <v>278</v>
      </c>
      <c r="D451" s="235">
        <v>8</v>
      </c>
    </row>
    <row r="452" spans="1:4" customFormat="1" x14ac:dyDescent="0.25">
      <c r="A452" s="228" t="s">
        <v>1395</v>
      </c>
      <c r="B452" s="236" t="s">
        <v>596</v>
      </c>
      <c r="C452" s="235" t="s">
        <v>278</v>
      </c>
      <c r="D452" s="234">
        <v>16</v>
      </c>
    </row>
    <row r="453" spans="1:4" customFormat="1" x14ac:dyDescent="0.25">
      <c r="A453" s="228" t="s">
        <v>606</v>
      </c>
      <c r="B453" s="237" t="s">
        <v>1087</v>
      </c>
      <c r="C453" s="235" t="s">
        <v>278</v>
      </c>
      <c r="D453" s="234">
        <v>4</v>
      </c>
    </row>
    <row r="454" spans="1:4" customFormat="1" x14ac:dyDescent="0.25">
      <c r="A454" s="228" t="s">
        <v>607</v>
      </c>
      <c r="B454" s="233" t="s">
        <v>1259</v>
      </c>
      <c r="C454" s="234"/>
      <c r="D454" s="235"/>
    </row>
    <row r="455" spans="1:4" customFormat="1" x14ac:dyDescent="0.25">
      <c r="A455" s="228" t="s">
        <v>608</v>
      </c>
      <c r="B455" s="236" t="s">
        <v>597</v>
      </c>
      <c r="C455" s="235" t="s">
        <v>278</v>
      </c>
      <c r="D455" s="234">
        <v>4</v>
      </c>
    </row>
    <row r="456" spans="1:4" customFormat="1" x14ac:dyDescent="0.25">
      <c r="A456" s="228" t="s">
        <v>609</v>
      </c>
      <c r="B456" s="233" t="s">
        <v>598</v>
      </c>
      <c r="C456" s="234" t="s">
        <v>278</v>
      </c>
      <c r="D456" s="235">
        <v>6</v>
      </c>
    </row>
    <row r="457" spans="1:4" customFormat="1" x14ac:dyDescent="0.25">
      <c r="A457" s="228" t="s">
        <v>1071</v>
      </c>
      <c r="B457" s="233" t="s">
        <v>1090</v>
      </c>
      <c r="C457" s="234"/>
      <c r="D457" s="235"/>
    </row>
    <row r="458" spans="1:4" customFormat="1" x14ac:dyDescent="0.25">
      <c r="A458" s="228" t="s">
        <v>1072</v>
      </c>
      <c r="B458" s="233" t="s">
        <v>1091</v>
      </c>
      <c r="C458" s="234" t="s">
        <v>278</v>
      </c>
      <c r="D458" s="235">
        <v>6</v>
      </c>
    </row>
    <row r="459" spans="1:4" customFormat="1" x14ac:dyDescent="0.25">
      <c r="A459" s="228" t="s">
        <v>1073</v>
      </c>
      <c r="B459" s="236" t="s">
        <v>566</v>
      </c>
      <c r="C459" s="235"/>
      <c r="D459" s="234"/>
    </row>
    <row r="460" spans="1:4" customFormat="1" x14ac:dyDescent="0.25">
      <c r="A460" s="228" t="s">
        <v>1074</v>
      </c>
      <c r="B460" s="233" t="s">
        <v>599</v>
      </c>
      <c r="C460" s="234" t="s">
        <v>278</v>
      </c>
      <c r="D460" s="235">
        <v>14</v>
      </c>
    </row>
    <row r="461" spans="1:4" customFormat="1" x14ac:dyDescent="0.25">
      <c r="A461" s="228" t="s">
        <v>1093</v>
      </c>
      <c r="B461" s="233" t="s">
        <v>1092</v>
      </c>
      <c r="C461" s="234" t="s">
        <v>278</v>
      </c>
      <c r="D461" s="235">
        <v>1</v>
      </c>
    </row>
    <row r="462" spans="1:4" customFormat="1" x14ac:dyDescent="0.25">
      <c r="A462" s="228" t="s">
        <v>1094</v>
      </c>
      <c r="B462" s="236" t="s">
        <v>600</v>
      </c>
      <c r="C462" s="235"/>
      <c r="D462" s="234"/>
    </row>
    <row r="463" spans="1:4" customFormat="1" x14ac:dyDescent="0.25">
      <c r="A463" s="228" t="s">
        <v>1095</v>
      </c>
      <c r="B463" s="233" t="s">
        <v>601</v>
      </c>
      <c r="C463" s="234" t="s">
        <v>25</v>
      </c>
      <c r="D463" s="235">
        <v>148.99</v>
      </c>
    </row>
    <row r="464" spans="1:4" customFormat="1" x14ac:dyDescent="0.25">
      <c r="A464" s="228" t="s">
        <v>1096</v>
      </c>
      <c r="B464" s="236" t="s">
        <v>602</v>
      </c>
      <c r="C464" s="235" t="s">
        <v>108</v>
      </c>
      <c r="D464" s="235">
        <f>240.42+2.98</f>
        <v>243.39999999999998</v>
      </c>
    </row>
    <row r="465" spans="1:5" customFormat="1" x14ac:dyDescent="0.25">
      <c r="A465" s="228" t="s">
        <v>1097</v>
      </c>
      <c r="B465" s="236" t="s">
        <v>603</v>
      </c>
      <c r="C465" s="235" t="s">
        <v>108</v>
      </c>
      <c r="D465" s="235">
        <f>60+30+38+39+60+47+4+20+20+60+10.5+4.54+40+22</f>
        <v>455.04</v>
      </c>
    </row>
    <row r="466" spans="1:5" customFormat="1" x14ac:dyDescent="0.25">
      <c r="A466" s="228" t="s">
        <v>1098</v>
      </c>
      <c r="B466" s="236" t="s">
        <v>1380</v>
      </c>
      <c r="C466" s="235" t="s">
        <v>108</v>
      </c>
      <c r="D466" s="235">
        <f>3.6+4.3+6+3.3+2.5+4+16.5+1.6+46.1+4.3+5.5+17.3+5.6+4.5+42.6+8.64+4.8+5.12+11.4+20.38+31.15+1.5+1+31.8</f>
        <v>283.49</v>
      </c>
    </row>
    <row r="467" spans="1:5" customFormat="1" x14ac:dyDescent="0.25">
      <c r="A467" s="228" t="s">
        <v>1099</v>
      </c>
      <c r="B467" s="233" t="s">
        <v>604</v>
      </c>
      <c r="C467" s="234"/>
      <c r="D467" s="235"/>
    </row>
    <row r="468" spans="1:5" customFormat="1" x14ac:dyDescent="0.25">
      <c r="A468" s="228" t="s">
        <v>1100</v>
      </c>
      <c r="B468" s="236" t="s">
        <v>605</v>
      </c>
      <c r="C468" s="235" t="s">
        <v>278</v>
      </c>
      <c r="D468" s="234">
        <v>12</v>
      </c>
    </row>
    <row r="469" spans="1:5" customFormat="1" ht="24" x14ac:dyDescent="0.25">
      <c r="A469" s="228" t="s">
        <v>1101</v>
      </c>
      <c r="B469" s="236" t="s">
        <v>1453</v>
      </c>
      <c r="C469" s="235" t="s">
        <v>278</v>
      </c>
      <c r="D469" s="234">
        <v>3</v>
      </c>
    </row>
    <row r="470" spans="1:5" customFormat="1" x14ac:dyDescent="0.25">
      <c r="A470" s="228" t="s">
        <v>1102</v>
      </c>
      <c r="B470" s="236" t="s">
        <v>1454</v>
      </c>
      <c r="C470" s="235" t="s">
        <v>278</v>
      </c>
      <c r="D470" s="234">
        <v>1</v>
      </c>
    </row>
    <row r="471" spans="1:5" customFormat="1" x14ac:dyDescent="0.25">
      <c r="A471" s="228" t="s">
        <v>1103</v>
      </c>
      <c r="B471" s="236" t="s">
        <v>1455</v>
      </c>
      <c r="C471" s="235" t="s">
        <v>1456</v>
      </c>
      <c r="D471" s="234">
        <v>3</v>
      </c>
    </row>
    <row r="472" spans="1:5" customFormat="1" x14ac:dyDescent="0.25">
      <c r="A472" s="228" t="s">
        <v>1104</v>
      </c>
      <c r="B472" s="236" t="s">
        <v>1457</v>
      </c>
      <c r="C472" s="235" t="s">
        <v>278</v>
      </c>
      <c r="D472" s="234">
        <v>6</v>
      </c>
    </row>
    <row r="473" spans="1:5" customFormat="1" x14ac:dyDescent="0.25">
      <c r="A473" s="228" t="s">
        <v>1105</v>
      </c>
      <c r="B473" s="236" t="s">
        <v>1458</v>
      </c>
      <c r="C473" s="235" t="s">
        <v>278</v>
      </c>
      <c r="D473" s="234">
        <v>6</v>
      </c>
    </row>
    <row r="474" spans="1:5" customFormat="1" x14ac:dyDescent="0.25">
      <c r="A474" s="228" t="s">
        <v>1106</v>
      </c>
      <c r="B474" s="236" t="s">
        <v>1459</v>
      </c>
      <c r="C474" s="235" t="s">
        <v>278</v>
      </c>
      <c r="D474" s="234">
        <v>2</v>
      </c>
    </row>
    <row r="475" spans="1:5" customFormat="1" x14ac:dyDescent="0.25">
      <c r="A475" s="228" t="s">
        <v>1107</v>
      </c>
      <c r="B475" s="236" t="s">
        <v>1460</v>
      </c>
      <c r="C475" s="235" t="s">
        <v>278</v>
      </c>
      <c r="D475" s="234">
        <v>5</v>
      </c>
    </row>
    <row r="476" spans="1:5" customFormat="1" x14ac:dyDescent="0.25">
      <c r="A476" s="228" t="s">
        <v>1108</v>
      </c>
      <c r="B476" s="236" t="s">
        <v>1464</v>
      </c>
      <c r="C476" s="235" t="s">
        <v>278</v>
      </c>
      <c r="D476" s="234">
        <v>2</v>
      </c>
      <c r="E476" s="137"/>
    </row>
    <row r="477" spans="1:5" customFormat="1" x14ac:dyDescent="0.25">
      <c r="A477" s="228" t="s">
        <v>1109</v>
      </c>
      <c r="B477" s="236" t="s">
        <v>1462</v>
      </c>
      <c r="C477" s="235" t="s">
        <v>278</v>
      </c>
      <c r="D477" s="234">
        <v>8</v>
      </c>
    </row>
    <row r="478" spans="1:5" customFormat="1" x14ac:dyDescent="0.25">
      <c r="A478" s="228" t="s">
        <v>1110</v>
      </c>
      <c r="B478" s="236" t="s">
        <v>1461</v>
      </c>
      <c r="C478" s="235" t="s">
        <v>278</v>
      </c>
      <c r="D478" s="234">
        <v>8</v>
      </c>
    </row>
    <row r="479" spans="1:5" customFormat="1" x14ac:dyDescent="0.25">
      <c r="A479" s="228" t="s">
        <v>1111</v>
      </c>
      <c r="B479" s="236" t="s">
        <v>1463</v>
      </c>
      <c r="C479" s="235" t="s">
        <v>278</v>
      </c>
      <c r="D479" s="234">
        <v>17</v>
      </c>
    </row>
    <row r="480" spans="1:5" customFormat="1" x14ac:dyDescent="0.25">
      <c r="A480" s="228" t="s">
        <v>1112</v>
      </c>
      <c r="B480" s="236" t="s">
        <v>1466</v>
      </c>
      <c r="C480" s="235" t="s">
        <v>278</v>
      </c>
      <c r="D480" s="234">
        <v>2</v>
      </c>
    </row>
    <row r="481" spans="1:5" customFormat="1" x14ac:dyDescent="0.25">
      <c r="A481" s="228" t="s">
        <v>1123</v>
      </c>
      <c r="B481" s="236" t="s">
        <v>1465</v>
      </c>
      <c r="C481" s="235" t="s">
        <v>278</v>
      </c>
      <c r="D481" s="234">
        <v>2</v>
      </c>
    </row>
    <row r="482" spans="1:5" customFormat="1" ht="24.75" thickBot="1" x14ac:dyDescent="0.3">
      <c r="A482" s="228" t="s">
        <v>1396</v>
      </c>
      <c r="B482" s="236" t="s">
        <v>1467</v>
      </c>
      <c r="C482" s="235" t="s">
        <v>108</v>
      </c>
      <c r="D482" s="234">
        <v>120</v>
      </c>
    </row>
    <row r="483" spans="1:5" ht="15.75" thickBot="1" x14ac:dyDescent="0.3">
      <c r="A483" s="169">
        <v>9</v>
      </c>
      <c r="B483" s="170" t="str">
        <f>ORÇAMENTO!D299</f>
        <v>INSTALACOES ESPECIAIS</v>
      </c>
      <c r="C483" s="171"/>
      <c r="D483" s="171"/>
      <c r="E483" s="5"/>
    </row>
    <row r="484" spans="1:5" ht="15.75" thickBot="1" x14ac:dyDescent="0.3">
      <c r="A484" s="172" t="s">
        <v>2</v>
      </c>
      <c r="B484" s="172" t="s">
        <v>316</v>
      </c>
      <c r="C484" s="172" t="s">
        <v>317</v>
      </c>
      <c r="D484" s="172" t="s">
        <v>318</v>
      </c>
      <c r="E484" s="5"/>
    </row>
    <row r="485" spans="1:5" ht="24" x14ac:dyDescent="0.25">
      <c r="A485" s="176" t="s">
        <v>185</v>
      </c>
      <c r="B485" s="239" t="str">
        <f>ORÇAMENTO!D300</f>
        <v xml:space="preserve">COTOVELO EM COBRE, DN 15 MM, 90 GRAUS, SEM ANEL DE SOLDA, INSTALADO EM RAMAL DE DISTRIBUIÇÃO FORNECIMENTO E INSTALAÇÃO. AF_12/2015 </v>
      </c>
      <c r="C485" s="207" t="str">
        <f>ORÇAMENTO!F300</f>
        <v>und.</v>
      </c>
      <c r="D485" s="193">
        <f>ORÇAMENTO!E300</f>
        <v>44</v>
      </c>
      <c r="E485" s="5"/>
    </row>
    <row r="486" spans="1:5" ht="24" x14ac:dyDescent="0.25">
      <c r="A486" s="176" t="s">
        <v>112</v>
      </c>
      <c r="B486" s="239" t="str">
        <f>ORÇAMENTO!D301</f>
        <v>COTOVELO EM COBRE, DN 22 MM, 90 GRAUS, SEM ANEL DE SOLDA, INSTALADO EM PRUMADA FORNECIMENTO E INSTALAÇÃO. AF_12/2015</v>
      </c>
      <c r="C486" s="207" t="str">
        <f>ORÇAMENTO!F301</f>
        <v>und.</v>
      </c>
      <c r="D486" s="193">
        <f>ORÇAMENTO!E301</f>
        <v>44</v>
      </c>
      <c r="E486" s="5"/>
    </row>
    <row r="487" spans="1:5" ht="24" x14ac:dyDescent="0.25">
      <c r="A487" s="176" t="s">
        <v>186</v>
      </c>
      <c r="B487" s="239" t="str">
        <f>ORÇAMENTO!D302</f>
        <v xml:space="preserve"> LUVA EM COBRE, DN 15 MM, SEM ANEL DE SOLDA, INSTALADO EM RAMAL DE DISTRIBUIÇÃO FORNECIMENTO E INSTALAÇÃO. AF_12/2015</v>
      </c>
      <c r="C487" s="207" t="str">
        <f>ORÇAMENTO!F302</f>
        <v>und.</v>
      </c>
      <c r="D487" s="193">
        <f>ORÇAMENTO!E302</f>
        <v>44</v>
      </c>
      <c r="E487" s="5"/>
    </row>
    <row r="488" spans="1:5" s="94" customFormat="1" ht="24" x14ac:dyDescent="0.25">
      <c r="A488" s="176" t="s">
        <v>187</v>
      </c>
      <c r="B488" s="239" t="str">
        <f>ORÇAMENTO!D303</f>
        <v xml:space="preserve"> LUVA EM COBRE, DN 22 MM, SEM ANEL DE SOLDA, INSTALADO EM RAMAL DE DISTRIBUIÇÃO FORNECIMENTO E INSTALAÇÃO. AF_12/2015</v>
      </c>
      <c r="C488" s="207" t="str">
        <f>ORÇAMENTO!F303</f>
        <v>und.</v>
      </c>
      <c r="D488" s="193">
        <f>ORÇAMENTO!E303</f>
        <v>22</v>
      </c>
    </row>
    <row r="489" spans="1:5" ht="24" x14ac:dyDescent="0.25">
      <c r="A489" s="176" t="s">
        <v>188</v>
      </c>
      <c r="B489" s="239" t="str">
        <f>ORÇAMENTO!D304</f>
        <v>BUCHA DE REDUÇÃO EM COBRE, DN 22 MM X 15 MM, SEM ANEL DE SOLDA, BOLSA X BOLSA, INSTALADO EM PRUMADA FORNECIMENTO E INSTALAÇÃO. AF_01/2016</v>
      </c>
      <c r="C489" s="207" t="str">
        <f>ORÇAMENTO!F304</f>
        <v>und.</v>
      </c>
      <c r="D489" s="193">
        <f>ORÇAMENTO!E304</f>
        <v>44</v>
      </c>
      <c r="E489" s="5"/>
    </row>
    <row r="490" spans="1:5" ht="24" x14ac:dyDescent="0.25">
      <c r="A490" s="176" t="s">
        <v>189</v>
      </c>
      <c r="B490" s="239" t="str">
        <f>ORÇAMENTO!D305</f>
        <v>TUBO EM COBRE RÍGIDO, DN 15 MM, CLASSE A, SEM ISOLAMENTO, INSTALADO EM RAMAL DE DISTRIBUIÇÃO FORNECIMENTO E INSTALAÇÃO. AF_12/2015</v>
      </c>
      <c r="C490" s="207" t="str">
        <f>ORÇAMENTO!F305</f>
        <v>m</v>
      </c>
      <c r="D490" s="193">
        <f>ORÇAMENTO!E305</f>
        <v>65.800000000000011</v>
      </c>
      <c r="E490" s="5"/>
    </row>
    <row r="491" spans="1:5" ht="15" customHeight="1" x14ac:dyDescent="0.25">
      <c r="A491" s="176" t="s">
        <v>1318</v>
      </c>
      <c r="B491" s="239" t="str">
        <f>ORÇAMENTO!D306</f>
        <v>TUBO EM COBRE RÍGIDO, DN 22 MM, CLASSE A, SEM ISOLAMENTO, INSTALADO EM PRUMADA FORNECIMENTO E INSTALAÇÃO. AF_12/2015</v>
      </c>
      <c r="C491" s="207" t="str">
        <f>ORÇAMENTO!F306</f>
        <v>m</v>
      </c>
      <c r="D491" s="193">
        <f>ORÇAMENTO!E306</f>
        <v>267.57</v>
      </c>
      <c r="E491" s="5"/>
    </row>
    <row r="492" spans="1:5" ht="15" customHeight="1" x14ac:dyDescent="0.25">
      <c r="A492" s="176" t="s">
        <v>1319</v>
      </c>
      <c r="B492" s="239" t="str">
        <f>ORÇAMENTO!D307</f>
        <v>PONTO CONSUMO OXIGENIO MED</v>
      </c>
      <c r="C492" s="207" t="str">
        <f>ORÇAMENTO!F307</f>
        <v>und.</v>
      </c>
      <c r="D492" s="193">
        <f>ORÇAMENTO!E307</f>
        <v>19</v>
      </c>
      <c r="E492" s="5"/>
    </row>
    <row r="493" spans="1:5" x14ac:dyDescent="0.25">
      <c r="A493" s="176" t="s">
        <v>1320</v>
      </c>
      <c r="B493" s="239" t="str">
        <f>ORÇAMENTO!D308</f>
        <v>PONTO CONSUMO AR COMPRIMIDO</v>
      </c>
      <c r="C493" s="207" t="str">
        <f>ORÇAMENTO!F308</f>
        <v>und.</v>
      </c>
      <c r="D493" s="193">
        <f>ORÇAMENTO!E308</f>
        <v>12</v>
      </c>
      <c r="E493" s="5"/>
    </row>
    <row r="494" spans="1:5" s="94" customFormat="1" ht="15" customHeight="1" x14ac:dyDescent="0.25">
      <c r="A494" s="176" t="s">
        <v>1321</v>
      </c>
      <c r="B494" s="239" t="str">
        <f>ORÇAMENTO!D309</f>
        <v>PONTO CONSUMO VACUO</v>
      </c>
      <c r="C494" s="207" t="str">
        <f>ORÇAMENTO!F309</f>
        <v>und.</v>
      </c>
      <c r="D494" s="193">
        <f>ORÇAMENTO!E309</f>
        <v>13</v>
      </c>
    </row>
    <row r="495" spans="1:5" s="94" customFormat="1" ht="15" customHeight="1" x14ac:dyDescent="0.25">
      <c r="A495" s="176" t="s">
        <v>1322</v>
      </c>
      <c r="B495" s="239" t="str">
        <f>ORÇAMENTO!D310</f>
        <v>VALVULA ESP. TRIPARTIDA 1/2</v>
      </c>
      <c r="C495" s="207" t="str">
        <f>ORÇAMENTO!F310</f>
        <v>und.</v>
      </c>
      <c r="D495" s="193">
        <f>ORÇAMENTO!E310</f>
        <v>5</v>
      </c>
    </row>
    <row r="496" spans="1:5" s="94" customFormat="1" x14ac:dyDescent="0.25">
      <c r="A496" s="176" t="s">
        <v>1323</v>
      </c>
      <c r="B496" s="239" t="str">
        <f>ORÇAMENTO!D311</f>
        <v>CENTRAL DE ALARME</v>
      </c>
      <c r="C496" s="207" t="str">
        <f>ORÇAMENTO!F311</f>
        <v>und.</v>
      </c>
      <c r="D496" s="193">
        <f>ORÇAMENTO!E311</f>
        <v>1</v>
      </c>
    </row>
    <row r="497" spans="1:5" s="94" customFormat="1" ht="15" customHeight="1" x14ac:dyDescent="0.25">
      <c r="A497" s="176" t="s">
        <v>1324</v>
      </c>
      <c r="B497" s="239" t="str">
        <f>ORÇAMENTO!D312</f>
        <v>SOLDA PRATA</v>
      </c>
      <c r="C497" s="207" t="str">
        <f>ORÇAMENTO!F312</f>
        <v>kg</v>
      </c>
      <c r="D497" s="193">
        <f>ORÇAMENTO!E312</f>
        <v>2</v>
      </c>
    </row>
    <row r="498" spans="1:5" s="94" customFormat="1" ht="15" customHeight="1" x14ac:dyDescent="0.25">
      <c r="A498" s="176" t="s">
        <v>1325</v>
      </c>
      <c r="B498" s="239" t="str">
        <f>ORÇAMENTO!D313</f>
        <v>PASTA FLUXO</v>
      </c>
      <c r="C498" s="207" t="str">
        <f>ORÇAMENTO!F313</f>
        <v>kg</v>
      </c>
      <c r="D498" s="193">
        <f>ORÇAMENTO!E313</f>
        <v>1</v>
      </c>
    </row>
    <row r="499" spans="1:5" s="94" customFormat="1" x14ac:dyDescent="0.25">
      <c r="A499" s="176" t="s">
        <v>1326</v>
      </c>
      <c r="B499" s="239" t="str">
        <f>ORÇAMENTO!D314</f>
        <v>CONECTOR DE 1/2 MACHO</v>
      </c>
      <c r="C499" s="207" t="str">
        <f>ORÇAMENTO!F314</f>
        <v>und.</v>
      </c>
      <c r="D499" s="193">
        <f>ORÇAMENTO!E314</f>
        <v>40</v>
      </c>
    </row>
    <row r="500" spans="1:5" s="94" customFormat="1" ht="15" customHeight="1" thickBot="1" x14ac:dyDescent="0.3">
      <c r="A500" s="176" t="s">
        <v>1327</v>
      </c>
      <c r="B500" s="239" t="str">
        <f>ORÇAMENTO!D315</f>
        <v>CENTRAL MANIFOLD DUPLA PARA CILINDROS</v>
      </c>
      <c r="C500" s="207" t="str">
        <f>ORÇAMENTO!F315</f>
        <v>und.</v>
      </c>
      <c r="D500" s="193">
        <f>ORÇAMENTO!E315</f>
        <v>3</v>
      </c>
    </row>
    <row r="501" spans="1:5" ht="15.75" thickBot="1" x14ac:dyDescent="0.3">
      <c r="A501" s="169">
        <v>9</v>
      </c>
      <c r="B501" s="170" t="s">
        <v>360</v>
      </c>
      <c r="C501" s="171"/>
      <c r="D501" s="171"/>
      <c r="E501" s="5"/>
    </row>
    <row r="502" spans="1:5" ht="15.75" thickBot="1" x14ac:dyDescent="0.3">
      <c r="A502" s="172" t="s">
        <v>2</v>
      </c>
      <c r="B502" s="172" t="s">
        <v>316</v>
      </c>
      <c r="C502" s="172" t="s">
        <v>317</v>
      </c>
      <c r="D502" s="172" t="s">
        <v>318</v>
      </c>
      <c r="E502" s="5"/>
    </row>
    <row r="503" spans="1:5" x14ac:dyDescent="0.25">
      <c r="A503" s="184" t="str">
        <f>ORÇAMENTO!A319</f>
        <v>9.1</v>
      </c>
      <c r="B503" s="185" t="s">
        <v>436</v>
      </c>
      <c r="C503" s="208" t="s">
        <v>195</v>
      </c>
      <c r="D503" s="193" t="s">
        <v>412</v>
      </c>
      <c r="E503" s="5"/>
    </row>
    <row r="504" spans="1:5" x14ac:dyDescent="0.25">
      <c r="A504" s="184" t="s">
        <v>367</v>
      </c>
      <c r="B504" s="181" t="s">
        <v>829</v>
      </c>
      <c r="C504" s="207" t="s">
        <v>195</v>
      </c>
      <c r="D504" s="193">
        <f>14.16+30.24+11.08+4.27+40.48+77.42+69.4+112.18+12.05+32.78+9.71+10.9+25.27+15+11.92+13.5+5+1.68+1.68+5.1+13.4+12.7+5.9+11.1+11.1+11.9+8.5+14.5+17.1+6.3+6.3+11.3+3.9+11.55+1.6+12.25+12.24+6.9+38.45+61.12+15.65+49.3+19.25+28.82+17.68+13.6+6.35+24.02+6.72</f>
        <v>963.31999999999994</v>
      </c>
      <c r="E504" s="5"/>
    </row>
    <row r="505" spans="1:5" ht="15" customHeight="1" x14ac:dyDescent="0.25">
      <c r="A505" s="184"/>
      <c r="B505" s="181" t="s">
        <v>831</v>
      </c>
      <c r="C505" s="207" t="s">
        <v>195</v>
      </c>
      <c r="D505" s="193">
        <f>22.26+13.23+22.26+13.23</f>
        <v>70.98</v>
      </c>
      <c r="E505" s="5"/>
    </row>
    <row r="506" spans="1:5" ht="15" customHeight="1" x14ac:dyDescent="0.25">
      <c r="A506" s="240"/>
      <c r="B506" s="181" t="s">
        <v>833</v>
      </c>
      <c r="C506" s="207" t="s">
        <v>195</v>
      </c>
      <c r="D506" s="193">
        <f>22.26+4.6+8+6.1+6.1+2.73+21.63+61.74+3.75+4.55+4.2+3.9+6.51</f>
        <v>156.07</v>
      </c>
      <c r="E506" s="5"/>
    </row>
    <row r="507" spans="1:5" ht="15" customHeight="1" x14ac:dyDescent="0.25">
      <c r="A507" s="184"/>
      <c r="B507" s="195" t="s">
        <v>835</v>
      </c>
      <c r="C507" s="207" t="s">
        <v>195</v>
      </c>
      <c r="D507" s="193">
        <f>12+15.46+19+13.6</f>
        <v>60.06</v>
      </c>
      <c r="E507" s="5"/>
    </row>
    <row r="508" spans="1:5" ht="15" customHeight="1" x14ac:dyDescent="0.25">
      <c r="A508" s="184" t="s">
        <v>368</v>
      </c>
      <c r="B508" s="181" t="s">
        <v>830</v>
      </c>
      <c r="C508" s="207" t="s">
        <v>195</v>
      </c>
      <c r="D508" s="193">
        <f>4.48+4.32+5.3+7.76+10.52+14.7+19.4+10.86+14.95+9.51+14.52+17.9+37.85+5.51+3.21+4.27+8.32+8.51+5.17+9.68+40.26+14.36+17.54+14.36+14.36+14.36+45.85+49.94+10.14+80.28+6.86+3.17+13.52+75.55+13.52+13.52+13.52+13.52+13.52+9.5+6+7+13.52+12.94+5.85+3.8+4.34+9.57+3+4.35+11.52+11.52+11.52+11.52+11.52+11.6+2+7.7+16.1525+6.2+6.2+6.2+6.72+7.2+11.77+(14*6)+7.7+2.97+7.7+2.97+2.36+12.52+10.23+10.23+(12.52*5)+5.7+10+40.5+8.8</f>
        <v>1172.3825000000004</v>
      </c>
      <c r="E508" s="5"/>
    </row>
    <row r="509" spans="1:5" ht="15" customHeight="1" x14ac:dyDescent="0.25">
      <c r="A509" s="184"/>
      <c r="B509" s="181" t="s">
        <v>832</v>
      </c>
      <c r="C509" s="207" t="s">
        <v>195</v>
      </c>
      <c r="D509" s="193">
        <f>18.3</f>
        <v>18.3</v>
      </c>
      <c r="E509" s="5"/>
    </row>
    <row r="510" spans="1:5" ht="15" customHeight="1" x14ac:dyDescent="0.25">
      <c r="A510" s="184"/>
      <c r="B510" s="181" t="s">
        <v>834</v>
      </c>
      <c r="C510" s="207" t="s">
        <v>195</v>
      </c>
      <c r="D510" s="193">
        <f>18.3+18.3+18.3</f>
        <v>54.900000000000006</v>
      </c>
      <c r="E510" s="5"/>
    </row>
    <row r="511" spans="1:5" ht="15" customHeight="1" x14ac:dyDescent="0.25">
      <c r="A511" s="184"/>
      <c r="B511" s="195" t="s">
        <v>836</v>
      </c>
      <c r="C511" s="207" t="s">
        <v>195</v>
      </c>
      <c r="D511" s="193">
        <v>9.1</v>
      </c>
      <c r="E511" s="5"/>
    </row>
    <row r="512" spans="1:5" ht="15" customHeight="1" thickBot="1" x14ac:dyDescent="0.3">
      <c r="A512" s="516" t="s">
        <v>372</v>
      </c>
      <c r="B512" s="517"/>
      <c r="C512" s="518"/>
      <c r="D512" s="179">
        <f>SUM(D504:D511)</f>
        <v>2505.1125000000002</v>
      </c>
      <c r="E512" s="5"/>
    </row>
    <row r="513" spans="1:5" x14ac:dyDescent="0.25">
      <c r="A513" s="184" t="str">
        <f>ORÇAMENTO!A320</f>
        <v>9.2</v>
      </c>
      <c r="B513" s="185" t="s">
        <v>1260</v>
      </c>
      <c r="C513" s="208" t="str">
        <f>ORÇAMENTO!F320</f>
        <v>m2</v>
      </c>
      <c r="D513" s="193" t="s">
        <v>412</v>
      </c>
      <c r="E513" s="5"/>
    </row>
    <row r="514" spans="1:5" x14ac:dyDescent="0.25">
      <c r="A514" s="184"/>
      <c r="B514" s="181" t="s">
        <v>920</v>
      </c>
      <c r="C514" s="207" t="str">
        <f>C513</f>
        <v>m2</v>
      </c>
      <c r="D514" s="193">
        <f>3.84+3.76+3.17+1.9+1.9</f>
        <v>14.57</v>
      </c>
      <c r="E514" s="5"/>
    </row>
    <row r="515" spans="1:5" x14ac:dyDescent="0.25">
      <c r="A515" s="176"/>
      <c r="B515" s="181" t="s">
        <v>919</v>
      </c>
      <c r="C515" s="207" t="str">
        <f t="shared" ref="C515:C517" si="0">C514</f>
        <v>m2</v>
      </c>
      <c r="D515" s="193">
        <f>3.7+3.7+5.1</f>
        <v>12.5</v>
      </c>
      <c r="E515" s="5"/>
    </row>
    <row r="516" spans="1:5" x14ac:dyDescent="0.25">
      <c r="A516" s="176"/>
      <c r="B516" s="181" t="s">
        <v>967</v>
      </c>
      <c r="C516" s="207" t="str">
        <f t="shared" si="0"/>
        <v>m2</v>
      </c>
      <c r="D516" s="193">
        <f>3.76+3.76+4.34</f>
        <v>11.86</v>
      </c>
      <c r="E516" s="5"/>
    </row>
    <row r="517" spans="1:5" x14ac:dyDescent="0.25">
      <c r="A517" s="176"/>
      <c r="B517" s="181" t="s">
        <v>968</v>
      </c>
      <c r="C517" s="207" t="str">
        <f t="shared" si="0"/>
        <v>m2</v>
      </c>
      <c r="D517" s="193">
        <f>3.76+3.76+4.34</f>
        <v>11.86</v>
      </c>
      <c r="E517" s="5"/>
    </row>
    <row r="518" spans="1:5" ht="15" customHeight="1" thickBot="1" x14ac:dyDescent="0.3">
      <c r="A518" s="516" t="s">
        <v>43</v>
      </c>
      <c r="B518" s="517"/>
      <c r="C518" s="518"/>
      <c r="D518" s="179">
        <f>SUM(D514:D517)</f>
        <v>50.79</v>
      </c>
      <c r="E518" s="5"/>
    </row>
    <row r="519" spans="1:5" x14ac:dyDescent="0.25">
      <c r="A519" s="184" t="str">
        <f>ORÇAMENTO!A321</f>
        <v>9.3</v>
      </c>
      <c r="B519" s="185" t="str">
        <f>ORÇAMENTO!D321</f>
        <v>ELEMENTO VAZADO DE CONCRETO</v>
      </c>
      <c r="C519" s="208" t="str">
        <f>ORÇAMENTO!F326</f>
        <v xml:space="preserve">m2 </v>
      </c>
      <c r="D519" s="193" t="s">
        <v>412</v>
      </c>
      <c r="E519" s="5"/>
    </row>
    <row r="520" spans="1:5" x14ac:dyDescent="0.25">
      <c r="A520" s="184"/>
      <c r="B520" s="181" t="s">
        <v>976</v>
      </c>
      <c r="C520" s="207" t="str">
        <f>C519</f>
        <v xml:space="preserve">m2 </v>
      </c>
      <c r="D520" s="193">
        <f>8*2.25*2.4</f>
        <v>43.199999999999996</v>
      </c>
      <c r="E520" s="5"/>
    </row>
    <row r="521" spans="1:5" ht="15" customHeight="1" thickBot="1" x14ac:dyDescent="0.3">
      <c r="A521" s="516" t="s">
        <v>43</v>
      </c>
      <c r="B521" s="517"/>
      <c r="C521" s="518"/>
      <c r="D521" s="179">
        <f>SUM(D520:D520)</f>
        <v>43.199999999999996</v>
      </c>
      <c r="E521" s="5"/>
    </row>
    <row r="522" spans="1:5" ht="15.75" thickBot="1" x14ac:dyDescent="0.3">
      <c r="A522" s="169">
        <v>10</v>
      </c>
      <c r="B522" s="170" t="s">
        <v>361</v>
      </c>
      <c r="C522" s="171"/>
      <c r="D522" s="171"/>
      <c r="E522" s="5"/>
    </row>
    <row r="523" spans="1:5" ht="15.75" thickBot="1" x14ac:dyDescent="0.3">
      <c r="A523" s="172" t="s">
        <v>2</v>
      </c>
      <c r="B523" s="172" t="s">
        <v>316</v>
      </c>
      <c r="C523" s="172" t="s">
        <v>317</v>
      </c>
      <c r="D523" s="172" t="s">
        <v>318</v>
      </c>
      <c r="E523" s="5"/>
    </row>
    <row r="524" spans="1:5" s="42" customFormat="1" x14ac:dyDescent="0.25">
      <c r="A524" s="202" t="str">
        <f>ORÇAMENTO!A325</f>
        <v>10.1</v>
      </c>
      <c r="B524" s="203" t="str">
        <f>ORÇAMENTO!D325</f>
        <v xml:space="preserve">IMPERMEABILIZACAO VIGAS BALDRAMES E=2,0 CM </v>
      </c>
      <c r="C524" s="208" t="s">
        <v>195</v>
      </c>
      <c r="D524" s="207" t="s">
        <v>364</v>
      </c>
    </row>
    <row r="525" spans="1:5" x14ac:dyDescent="0.25">
      <c r="A525" s="176" t="s">
        <v>367</v>
      </c>
      <c r="B525" s="181" t="s">
        <v>365</v>
      </c>
      <c r="C525" s="207" t="s">
        <v>108</v>
      </c>
      <c r="D525" s="193">
        <f>D65</f>
        <v>835.71</v>
      </c>
      <c r="E525" s="5"/>
    </row>
    <row r="526" spans="1:5" x14ac:dyDescent="0.25">
      <c r="A526" s="176" t="s">
        <v>368</v>
      </c>
      <c r="B526" s="181" t="s">
        <v>1261</v>
      </c>
      <c r="C526" s="207" t="s">
        <v>108</v>
      </c>
      <c r="D526" s="193">
        <v>0.15</v>
      </c>
      <c r="E526" s="5"/>
    </row>
    <row r="527" spans="1:5" x14ac:dyDescent="0.25">
      <c r="A527" s="182" t="s">
        <v>369</v>
      </c>
      <c r="B527" s="181" t="s">
        <v>366</v>
      </c>
      <c r="C527" s="182" t="s">
        <v>108</v>
      </c>
      <c r="D527" s="193">
        <v>0.14000000000000001</v>
      </c>
      <c r="E527" s="5"/>
    </row>
    <row r="528" spans="1:5" ht="15.75" thickBot="1" x14ac:dyDescent="0.3">
      <c r="A528" s="516" t="s">
        <v>370</v>
      </c>
      <c r="B528" s="517"/>
      <c r="C528" s="518"/>
      <c r="D528" s="179">
        <f>(2*D525*D526)+(D525*(D527+0.3))</f>
        <v>618.42539999999997</v>
      </c>
      <c r="E528" s="5"/>
    </row>
    <row r="529" spans="1:5" s="6" customFormat="1" x14ac:dyDescent="0.25">
      <c r="A529" s="241" t="str">
        <f>ORÇAMENTO!A326</f>
        <v>10.2</v>
      </c>
      <c r="B529" s="242" t="str">
        <f>ORÇAMENTO!D326</f>
        <v xml:space="preserve">IMPERMEABILIZAÇÃO-REBAIXO BANHEIRO COM 4 DEMÃOS DE EMULSÃO ASFÁLTICA </v>
      </c>
      <c r="C529" s="217" t="s">
        <v>195</v>
      </c>
      <c r="D529" s="214" t="s">
        <v>371</v>
      </c>
    </row>
    <row r="530" spans="1:5" x14ac:dyDescent="0.25">
      <c r="A530" s="176"/>
      <c r="B530" s="181" t="s">
        <v>977</v>
      </c>
      <c r="C530" s="207" t="s">
        <v>195</v>
      </c>
      <c r="D530" s="193">
        <v>2.57</v>
      </c>
      <c r="E530" s="5"/>
    </row>
    <row r="531" spans="1:5" x14ac:dyDescent="0.25">
      <c r="A531" s="182"/>
      <c r="B531" s="181" t="s">
        <v>916</v>
      </c>
      <c r="C531" s="182" t="s">
        <v>195</v>
      </c>
      <c r="D531" s="193">
        <v>6.93</v>
      </c>
      <c r="E531" s="5"/>
    </row>
    <row r="532" spans="1:5" x14ac:dyDescent="0.25">
      <c r="A532" s="176"/>
      <c r="B532" s="181" t="s">
        <v>805</v>
      </c>
      <c r="C532" s="207" t="s">
        <v>195</v>
      </c>
      <c r="D532" s="193">
        <v>9.26</v>
      </c>
      <c r="E532" s="5"/>
    </row>
    <row r="533" spans="1:5" x14ac:dyDescent="0.25">
      <c r="A533" s="182"/>
      <c r="B533" s="181" t="s">
        <v>804</v>
      </c>
      <c r="C533" s="182" t="s">
        <v>195</v>
      </c>
      <c r="D533" s="193">
        <v>8.69</v>
      </c>
      <c r="E533" s="5"/>
    </row>
    <row r="534" spans="1:5" x14ac:dyDescent="0.25">
      <c r="A534" s="176"/>
      <c r="B534" s="181" t="s">
        <v>921</v>
      </c>
      <c r="C534" s="207" t="s">
        <v>195</v>
      </c>
      <c r="D534" s="193">
        <v>2.81</v>
      </c>
      <c r="E534" s="5"/>
    </row>
    <row r="535" spans="1:5" x14ac:dyDescent="0.25">
      <c r="A535" s="182"/>
      <c r="B535" s="181" t="s">
        <v>809</v>
      </c>
      <c r="C535" s="182" t="s">
        <v>195</v>
      </c>
      <c r="D535" s="193">
        <v>2.4300000000000002</v>
      </c>
      <c r="E535" s="5"/>
    </row>
    <row r="536" spans="1:5" x14ac:dyDescent="0.25">
      <c r="A536" s="176"/>
      <c r="B536" s="181" t="s">
        <v>940</v>
      </c>
      <c r="C536" s="207" t="s">
        <v>195</v>
      </c>
      <c r="D536" s="193">
        <v>4.5599999999999996</v>
      </c>
      <c r="E536" s="5"/>
    </row>
    <row r="537" spans="1:5" x14ac:dyDescent="0.25">
      <c r="A537" s="182"/>
      <c r="B537" s="181" t="s">
        <v>978</v>
      </c>
      <c r="C537" s="182" t="s">
        <v>195</v>
      </c>
      <c r="D537" s="193">
        <v>5.52</v>
      </c>
      <c r="E537" s="5"/>
    </row>
    <row r="538" spans="1:5" x14ac:dyDescent="0.25">
      <c r="A538" s="176"/>
      <c r="B538" s="181" t="s">
        <v>979</v>
      </c>
      <c r="C538" s="207" t="s">
        <v>195</v>
      </c>
      <c r="D538" s="193">
        <v>5.52</v>
      </c>
      <c r="E538" s="5"/>
    </row>
    <row r="539" spans="1:5" x14ac:dyDescent="0.25">
      <c r="A539" s="182"/>
      <c r="B539" s="181" t="s">
        <v>980</v>
      </c>
      <c r="C539" s="182" t="s">
        <v>195</v>
      </c>
      <c r="D539" s="193">
        <v>5.52</v>
      </c>
      <c r="E539" s="5"/>
    </row>
    <row r="540" spans="1:5" x14ac:dyDescent="0.25">
      <c r="A540" s="176"/>
      <c r="B540" s="181" t="s">
        <v>942</v>
      </c>
      <c r="C540" s="207" t="s">
        <v>195</v>
      </c>
      <c r="D540" s="193">
        <v>2.8</v>
      </c>
      <c r="E540" s="5"/>
    </row>
    <row r="541" spans="1:5" x14ac:dyDescent="0.25">
      <c r="A541" s="182"/>
      <c r="B541" s="181" t="s">
        <v>943</v>
      </c>
      <c r="C541" s="182" t="s">
        <v>195</v>
      </c>
      <c r="D541" s="193">
        <v>2.8</v>
      </c>
      <c r="E541" s="5"/>
    </row>
    <row r="542" spans="1:5" x14ac:dyDescent="0.25">
      <c r="A542" s="182"/>
      <c r="B542" s="181" t="s">
        <v>981</v>
      </c>
      <c r="C542" s="182" t="s">
        <v>195</v>
      </c>
      <c r="D542" s="193">
        <v>9.18</v>
      </c>
      <c r="E542" s="5"/>
    </row>
    <row r="543" spans="1:5" x14ac:dyDescent="0.25">
      <c r="A543" s="182"/>
      <c r="B543" s="181" t="s">
        <v>982</v>
      </c>
      <c r="C543" s="182" t="s">
        <v>195</v>
      </c>
      <c r="D543" s="193">
        <v>9.18</v>
      </c>
      <c r="E543" s="5"/>
    </row>
    <row r="544" spans="1:5" x14ac:dyDescent="0.25">
      <c r="A544" s="182"/>
      <c r="B544" s="181" t="s">
        <v>956</v>
      </c>
      <c r="C544" s="182" t="s">
        <v>195</v>
      </c>
      <c r="D544" s="193">
        <f>1.3*3</f>
        <v>3.9000000000000004</v>
      </c>
      <c r="E544" s="5"/>
    </row>
    <row r="545" spans="1:5" ht="15.75" thickBot="1" x14ac:dyDescent="0.3">
      <c r="A545" s="516" t="s">
        <v>43</v>
      </c>
      <c r="B545" s="517"/>
      <c r="C545" s="518"/>
      <c r="D545" s="179">
        <f>SUM(D530:D544)</f>
        <v>81.669999999999987</v>
      </c>
      <c r="E545" s="5"/>
    </row>
    <row r="546" spans="1:5" s="6" customFormat="1" x14ac:dyDescent="0.25">
      <c r="A546" s="241" t="str">
        <f>ORÇAMENTO!A327</f>
        <v>10.3</v>
      </c>
      <c r="B546" s="242" t="str">
        <f>ORÇAMENTO!D327</f>
        <v>IMPERMEABILIZACAO-ARGAM. SINT.SEMI - FLEXIVEL</v>
      </c>
      <c r="C546" s="217" t="s">
        <v>195</v>
      </c>
      <c r="D546" s="214" t="s">
        <v>907</v>
      </c>
    </row>
    <row r="547" spans="1:5" x14ac:dyDescent="0.25">
      <c r="A547" s="176"/>
      <c r="B547" s="181" t="s">
        <v>1018</v>
      </c>
      <c r="C547" s="207" t="s">
        <v>195</v>
      </c>
      <c r="D547" s="193">
        <f>D898</f>
        <v>34.76</v>
      </c>
      <c r="E547" s="5"/>
    </row>
    <row r="548" spans="1:5" ht="15.75" thickBot="1" x14ac:dyDescent="0.3">
      <c r="A548" s="516" t="s">
        <v>43</v>
      </c>
      <c r="B548" s="517"/>
      <c r="C548" s="518"/>
      <c r="D548" s="179">
        <f>D547</f>
        <v>34.76</v>
      </c>
      <c r="E548" s="5"/>
    </row>
    <row r="549" spans="1:5" ht="15.75" thickBot="1" x14ac:dyDescent="0.3">
      <c r="A549" s="169">
        <v>11</v>
      </c>
      <c r="B549" s="170" t="s">
        <v>437</v>
      </c>
      <c r="C549" s="171"/>
      <c r="D549" s="171"/>
      <c r="E549" s="5"/>
    </row>
    <row r="550" spans="1:5" ht="15.75" thickBot="1" x14ac:dyDescent="0.3">
      <c r="A550" s="172" t="s">
        <v>2</v>
      </c>
      <c r="B550" s="172" t="s">
        <v>316</v>
      </c>
      <c r="C550" s="172" t="s">
        <v>317</v>
      </c>
      <c r="D550" s="172" t="s">
        <v>318</v>
      </c>
      <c r="E550" s="5"/>
    </row>
    <row r="551" spans="1:5" ht="24" x14ac:dyDescent="0.25">
      <c r="A551" s="184" t="s">
        <v>216</v>
      </c>
      <c r="B551" s="185" t="s">
        <v>432</v>
      </c>
      <c r="C551" s="208" t="s">
        <v>195</v>
      </c>
      <c r="D551" s="193" t="s">
        <v>373</v>
      </c>
      <c r="E551" s="5"/>
    </row>
    <row r="552" spans="1:5" x14ac:dyDescent="0.25">
      <c r="A552" s="176" t="s">
        <v>367</v>
      </c>
      <c r="B552" s="181" t="s">
        <v>1150</v>
      </c>
      <c r="C552" s="207" t="s">
        <v>195</v>
      </c>
      <c r="D552" s="193">
        <f>D28</f>
        <v>1043.0999999999999</v>
      </c>
      <c r="E552" s="5"/>
    </row>
    <row r="553" spans="1:5" x14ac:dyDescent="0.25">
      <c r="A553" s="176" t="s">
        <v>368</v>
      </c>
      <c r="B553" s="181" t="s">
        <v>1262</v>
      </c>
      <c r="C553" s="207" t="s">
        <v>195</v>
      </c>
      <c r="D553" s="193">
        <f>D547</f>
        <v>34.76</v>
      </c>
      <c r="E553" s="5"/>
    </row>
    <row r="554" spans="1:5" ht="15.75" thickBot="1" x14ac:dyDescent="0.3">
      <c r="A554" s="516" t="s">
        <v>1263</v>
      </c>
      <c r="B554" s="517"/>
      <c r="C554" s="518"/>
      <c r="D554" s="179">
        <f>D552-D553</f>
        <v>1008.3399999999999</v>
      </c>
      <c r="E554" s="5"/>
    </row>
    <row r="555" spans="1:5" ht="15.75" thickBot="1" x14ac:dyDescent="0.3">
      <c r="A555" s="169">
        <v>12</v>
      </c>
      <c r="B555" s="170" t="s">
        <v>362</v>
      </c>
      <c r="C555" s="171"/>
      <c r="D555" s="171"/>
      <c r="E555" s="5"/>
    </row>
    <row r="556" spans="1:5" ht="15.75" thickBot="1" x14ac:dyDescent="0.3">
      <c r="A556" s="172" t="s">
        <v>2</v>
      </c>
      <c r="B556" s="172" t="s">
        <v>316</v>
      </c>
      <c r="C556" s="172" t="s">
        <v>317</v>
      </c>
      <c r="D556" s="172" t="s">
        <v>318</v>
      </c>
      <c r="E556" s="5"/>
    </row>
    <row r="557" spans="1:5" x14ac:dyDescent="0.25">
      <c r="A557" s="184" t="s">
        <v>221</v>
      </c>
      <c r="B557" s="185" t="s">
        <v>1363</v>
      </c>
      <c r="C557" s="186" t="s">
        <v>278</v>
      </c>
      <c r="D557" s="186">
        <v>1</v>
      </c>
      <c r="E557" s="5"/>
    </row>
    <row r="558" spans="1:5" s="94" customFormat="1" x14ac:dyDescent="0.25">
      <c r="A558" s="184" t="s">
        <v>1264</v>
      </c>
      <c r="B558" s="185" t="s">
        <v>1364</v>
      </c>
      <c r="C558" s="186" t="s">
        <v>278</v>
      </c>
      <c r="D558" s="186">
        <v>1</v>
      </c>
    </row>
    <row r="559" spans="1:5" ht="15.75" thickBot="1" x14ac:dyDescent="0.3">
      <c r="A559" s="184" t="s">
        <v>1362</v>
      </c>
      <c r="B559" s="185" t="s">
        <v>1493</v>
      </c>
      <c r="C559" s="186" t="s">
        <v>278</v>
      </c>
      <c r="D559" s="186">
        <v>1</v>
      </c>
      <c r="E559" s="5"/>
    </row>
    <row r="560" spans="1:5" ht="15.75" thickBot="1" x14ac:dyDescent="0.3">
      <c r="A560" s="169">
        <v>13</v>
      </c>
      <c r="B560" s="170" t="s">
        <v>32</v>
      </c>
      <c r="C560" s="171"/>
      <c r="D560" s="171"/>
      <c r="E560" s="5"/>
    </row>
    <row r="561" spans="1:5" ht="15.75" thickBot="1" x14ac:dyDescent="0.3">
      <c r="A561" s="172" t="s">
        <v>2</v>
      </c>
      <c r="B561" s="172" t="s">
        <v>316</v>
      </c>
      <c r="C561" s="172" t="s">
        <v>317</v>
      </c>
      <c r="D561" s="172" t="s">
        <v>318</v>
      </c>
      <c r="E561" s="5"/>
    </row>
    <row r="562" spans="1:5" x14ac:dyDescent="0.25">
      <c r="A562" s="184" t="str">
        <f>ORÇAMENTO!A341</f>
        <v>13.1</v>
      </c>
      <c r="B562" s="185" t="str">
        <f>ORÇAMENTO!D341</f>
        <v>COBERTURA COM TELHA ONDULADA OU EQUIV.</v>
      </c>
      <c r="C562" s="208" t="str">
        <f>ORÇAMENTO!F341</f>
        <v>m2</v>
      </c>
      <c r="D562" s="234" t="s">
        <v>795</v>
      </c>
      <c r="E562" s="5"/>
    </row>
    <row r="563" spans="1:5" x14ac:dyDescent="0.25">
      <c r="A563" s="176"/>
      <c r="B563" s="181" t="s">
        <v>985</v>
      </c>
      <c r="C563" s="207" t="s">
        <v>195</v>
      </c>
      <c r="D563" s="193">
        <f>D554</f>
        <v>1008.3399999999999</v>
      </c>
      <c r="E563" s="5"/>
    </row>
    <row r="564" spans="1:5" ht="15.75" thickBot="1" x14ac:dyDescent="0.3">
      <c r="A564" s="516" t="s">
        <v>43</v>
      </c>
      <c r="B564" s="517"/>
      <c r="C564" s="518"/>
      <c r="D564" s="179">
        <f>D563</f>
        <v>1008.3399999999999</v>
      </c>
      <c r="E564" s="5"/>
    </row>
    <row r="565" spans="1:5" x14ac:dyDescent="0.25">
      <c r="A565" s="184" t="str">
        <f>ORÇAMENTO!A342</f>
        <v>13.2</v>
      </c>
      <c r="B565" s="185" t="str">
        <f>ORÇAMENTO!D342</f>
        <v>CUMEEIRA PARA TELHA ONDULADA OU EQUIV.</v>
      </c>
      <c r="C565" s="208" t="s">
        <v>108</v>
      </c>
      <c r="D565" s="193" t="s">
        <v>376</v>
      </c>
      <c r="E565" s="5"/>
    </row>
    <row r="566" spans="1:5" x14ac:dyDescent="0.25">
      <c r="A566" s="176"/>
      <c r="B566" s="181" t="s">
        <v>983</v>
      </c>
      <c r="C566" s="207" t="s">
        <v>108</v>
      </c>
      <c r="D566" s="193">
        <f>16.36+23.1</f>
        <v>39.46</v>
      </c>
      <c r="E566" s="5"/>
    </row>
    <row r="567" spans="1:5" ht="15.75" thickBot="1" x14ac:dyDescent="0.3">
      <c r="A567" s="516" t="s">
        <v>43</v>
      </c>
      <c r="B567" s="517"/>
      <c r="C567" s="518"/>
      <c r="D567" s="179">
        <f>SUM(D566:D566)</f>
        <v>39.46</v>
      </c>
      <c r="E567" s="5"/>
    </row>
    <row r="568" spans="1:5" s="94" customFormat="1" x14ac:dyDescent="0.25">
      <c r="A568" s="184" t="s">
        <v>434</v>
      </c>
      <c r="B568" s="185" t="s">
        <v>217</v>
      </c>
      <c r="C568" s="208" t="s">
        <v>195</v>
      </c>
      <c r="D568" s="193" t="s">
        <v>1401</v>
      </c>
    </row>
    <row r="569" spans="1:5" s="94" customFormat="1" x14ac:dyDescent="0.25">
      <c r="A569" s="184" t="s">
        <v>367</v>
      </c>
      <c r="B569" s="185" t="s">
        <v>1398</v>
      </c>
      <c r="C569" s="208" t="s">
        <v>195</v>
      </c>
      <c r="D569" s="243">
        <f>D570*D571</f>
        <v>26.6</v>
      </c>
    </row>
    <row r="570" spans="1:5" s="94" customFormat="1" x14ac:dyDescent="0.25">
      <c r="A570" s="184"/>
      <c r="B570" s="181" t="s">
        <v>1400</v>
      </c>
      <c r="C570" s="207" t="s">
        <v>108</v>
      </c>
      <c r="D570" s="193">
        <f>19*3.5</f>
        <v>66.5</v>
      </c>
    </row>
    <row r="571" spans="1:5" s="94" customFormat="1" x14ac:dyDescent="0.25">
      <c r="A571" s="184"/>
      <c r="B571" s="181" t="s">
        <v>366</v>
      </c>
      <c r="C571" s="207" t="s">
        <v>108</v>
      </c>
      <c r="D571" s="193">
        <v>0.4</v>
      </c>
    </row>
    <row r="572" spans="1:5" s="94" customFormat="1" x14ac:dyDescent="0.25">
      <c r="A572" s="184" t="s">
        <v>368</v>
      </c>
      <c r="B572" s="185" t="s">
        <v>1399</v>
      </c>
      <c r="C572" s="208" t="s">
        <v>195</v>
      </c>
      <c r="D572" s="243">
        <f>D573*D574</f>
        <v>68.276499999999999</v>
      </c>
    </row>
    <row r="573" spans="1:5" s="94" customFormat="1" x14ac:dyDescent="0.25">
      <c r="A573" s="184"/>
      <c r="B573" s="181" t="s">
        <v>1400</v>
      </c>
      <c r="C573" s="207" t="s">
        <v>108</v>
      </c>
      <c r="D573" s="193">
        <f>23.2+1+3.9+1.25+6.15+23.2+2.6+27+15.4+36.15+13+8.7+6.75+21.5+2.15+21.5+9+5.4+11.6+3.3+2.15+3.25+14.4+8.6+16.55+3.75+10.5+29+10.6+8.9+6.75+2.15</f>
        <v>359.35</v>
      </c>
    </row>
    <row r="574" spans="1:5" s="94" customFormat="1" x14ac:dyDescent="0.25">
      <c r="A574" s="184"/>
      <c r="B574" s="181" t="s">
        <v>58</v>
      </c>
      <c r="C574" s="207" t="s">
        <v>108</v>
      </c>
      <c r="D574" s="193">
        <v>0.19</v>
      </c>
    </row>
    <row r="575" spans="1:5" s="94" customFormat="1" ht="15.75" thickBot="1" x14ac:dyDescent="0.3">
      <c r="A575" s="516" t="s">
        <v>1272</v>
      </c>
      <c r="B575" s="517"/>
      <c r="C575" s="518"/>
      <c r="D575" s="179">
        <f>SUM(D569+D572)</f>
        <v>94.876499999999993</v>
      </c>
    </row>
    <row r="576" spans="1:5" x14ac:dyDescent="0.25">
      <c r="A576" s="184" t="str">
        <f>ORÇAMENTO!A344</f>
        <v>13.4</v>
      </c>
      <c r="B576" s="185" t="str">
        <f>ORÇAMENTO!D344</f>
        <v>CALHA DE CHAPA GALVANIZADA</v>
      </c>
      <c r="C576" s="208" t="s">
        <v>108</v>
      </c>
      <c r="D576" s="193" t="s">
        <v>827</v>
      </c>
      <c r="E576" s="5"/>
    </row>
    <row r="577" spans="1:5" x14ac:dyDescent="0.25">
      <c r="A577" s="184"/>
      <c r="B577" s="181" t="s">
        <v>983</v>
      </c>
      <c r="C577" s="207" t="s">
        <v>108</v>
      </c>
      <c r="D577" s="193">
        <f>6.7+29+13.6+28.95+14.2+2+16.4+23.05+24.2</f>
        <v>158.1</v>
      </c>
      <c r="E577" s="5"/>
    </row>
    <row r="578" spans="1:5" x14ac:dyDescent="0.25">
      <c r="A578" s="184"/>
      <c r="B578" s="181" t="s">
        <v>986</v>
      </c>
      <c r="C578" s="207" t="s">
        <v>108</v>
      </c>
      <c r="D578" s="193">
        <v>14.55</v>
      </c>
      <c r="E578" s="5"/>
    </row>
    <row r="579" spans="1:5" x14ac:dyDescent="0.25">
      <c r="A579" s="184"/>
      <c r="B579" s="181" t="s">
        <v>984</v>
      </c>
      <c r="C579" s="207" t="s">
        <v>108</v>
      </c>
      <c r="D579" s="193">
        <v>4.1500000000000004</v>
      </c>
      <c r="E579" s="5"/>
    </row>
    <row r="580" spans="1:5" x14ac:dyDescent="0.25">
      <c r="A580" s="184"/>
      <c r="B580" s="181" t="s">
        <v>817</v>
      </c>
      <c r="C580" s="207" t="s">
        <v>108</v>
      </c>
      <c r="D580" s="193">
        <v>4.4000000000000004</v>
      </c>
      <c r="E580" s="5"/>
    </row>
    <row r="581" spans="1:5" ht="15.75" thickBot="1" x14ac:dyDescent="0.3">
      <c r="A581" s="516" t="s">
        <v>43</v>
      </c>
      <c r="B581" s="517"/>
      <c r="C581" s="518"/>
      <c r="D581" s="179">
        <f>SUM(D577:D580)</f>
        <v>181.20000000000002</v>
      </c>
      <c r="E581" s="5"/>
    </row>
    <row r="582" spans="1:5" x14ac:dyDescent="0.25">
      <c r="A582" s="184" t="str">
        <f>ORÇAMENTO!A345</f>
        <v>13.5</v>
      </c>
      <c r="B582" s="185" t="str">
        <f>ORÇAMENTO!D345</f>
        <v xml:space="preserve">RUFO DE CHAPA GALVANIZADA </v>
      </c>
      <c r="C582" s="208" t="s">
        <v>108</v>
      </c>
      <c r="D582" s="193" t="s">
        <v>378</v>
      </c>
      <c r="E582" s="5"/>
    </row>
    <row r="583" spans="1:5" x14ac:dyDescent="0.25">
      <c r="A583" s="176"/>
      <c r="B583" s="181" t="s">
        <v>983</v>
      </c>
      <c r="C583" s="207" t="s">
        <v>108</v>
      </c>
      <c r="D583" s="193">
        <f>6.45+6.45+6.85+6.45+23.92+1.15+5.25+7.6+7.35+5.32+1.15+21.6+3.3+2.15+2.9+5.3+5.3+13.6+8.3+8.3+9.6+6+1.1+3.6</f>
        <v>168.99</v>
      </c>
      <c r="E583" s="5"/>
    </row>
    <row r="584" spans="1:5" x14ac:dyDescent="0.25">
      <c r="A584" s="176"/>
      <c r="B584" s="181" t="s">
        <v>986</v>
      </c>
      <c r="C584" s="207" t="s">
        <v>108</v>
      </c>
      <c r="D584" s="193">
        <f>5+5+14.55</f>
        <v>24.55</v>
      </c>
      <c r="E584" s="5"/>
    </row>
    <row r="585" spans="1:5" x14ac:dyDescent="0.25">
      <c r="A585" s="176"/>
      <c r="B585" s="181" t="s">
        <v>984</v>
      </c>
      <c r="C585" s="207" t="s">
        <v>108</v>
      </c>
      <c r="D585" s="193">
        <f>5+4.15+5</f>
        <v>14.15</v>
      </c>
      <c r="E585" s="5"/>
    </row>
    <row r="586" spans="1:5" x14ac:dyDescent="0.25">
      <c r="A586" s="176"/>
      <c r="B586" s="181" t="s">
        <v>817</v>
      </c>
      <c r="C586" s="207" t="s">
        <v>108</v>
      </c>
      <c r="D586" s="193">
        <f>3+3+4.4</f>
        <v>10.4</v>
      </c>
      <c r="E586" s="5"/>
    </row>
    <row r="587" spans="1:5" ht="15.75" thickBot="1" x14ac:dyDescent="0.3">
      <c r="A587" s="516" t="s">
        <v>43</v>
      </c>
      <c r="B587" s="517"/>
      <c r="C587" s="518"/>
      <c r="D587" s="179">
        <f>SUM(D583:D586)</f>
        <v>218.09000000000003</v>
      </c>
      <c r="E587" s="5"/>
    </row>
    <row r="588" spans="1:5" ht="15.75" thickBot="1" x14ac:dyDescent="0.3">
      <c r="A588" s="169">
        <v>14</v>
      </c>
      <c r="B588" s="170" t="s">
        <v>363</v>
      </c>
      <c r="C588" s="171"/>
      <c r="D588" s="171"/>
      <c r="E588" s="5"/>
    </row>
    <row r="589" spans="1:5" ht="15.75" thickBot="1" x14ac:dyDescent="0.3">
      <c r="A589" s="172" t="s">
        <v>2</v>
      </c>
      <c r="B589" s="172" t="s">
        <v>316</v>
      </c>
      <c r="C589" s="172" t="s">
        <v>317</v>
      </c>
      <c r="D589" s="172" t="s">
        <v>318</v>
      </c>
      <c r="E589" s="5"/>
    </row>
    <row r="590" spans="1:5" ht="25.5" customHeight="1" x14ac:dyDescent="0.25">
      <c r="A590" s="184" t="str">
        <f>ORÇAMENTO!A349</f>
        <v>14.1</v>
      </c>
      <c r="B590" s="185" t="str">
        <f>ORÇAMENTO!D349</f>
        <v xml:space="preserve">PORTA LISA 80x210 C/PORTAL E ALISAR S/FERRAGENS </v>
      </c>
      <c r="C590" s="208" t="s">
        <v>375</v>
      </c>
      <c r="D590" s="193" t="s">
        <v>379</v>
      </c>
      <c r="E590" s="5"/>
    </row>
    <row r="591" spans="1:5" x14ac:dyDescent="0.25">
      <c r="A591" s="176"/>
      <c r="B591" s="236" t="s">
        <v>610</v>
      </c>
      <c r="C591" s="207" t="s">
        <v>278</v>
      </c>
      <c r="D591" s="193">
        <v>1</v>
      </c>
      <c r="E591" s="5"/>
    </row>
    <row r="592" spans="1:5" x14ac:dyDescent="0.25">
      <c r="A592" s="176"/>
      <c r="B592" s="236" t="s">
        <v>611</v>
      </c>
      <c r="C592" s="207" t="s">
        <v>278</v>
      </c>
      <c r="D592" s="193">
        <v>1</v>
      </c>
      <c r="E592" s="5"/>
    </row>
    <row r="593" spans="1:5" x14ac:dyDescent="0.25">
      <c r="A593" s="184"/>
      <c r="B593" s="236" t="s">
        <v>612</v>
      </c>
      <c r="C593" s="207" t="s">
        <v>278</v>
      </c>
      <c r="D593" s="193">
        <v>1</v>
      </c>
      <c r="E593" s="5"/>
    </row>
    <row r="594" spans="1:5" x14ac:dyDescent="0.25">
      <c r="A594" s="176"/>
      <c r="B594" s="236" t="s">
        <v>613</v>
      </c>
      <c r="C594" s="207" t="s">
        <v>278</v>
      </c>
      <c r="D594" s="193">
        <v>1</v>
      </c>
      <c r="E594" s="5"/>
    </row>
    <row r="595" spans="1:5" x14ac:dyDescent="0.25">
      <c r="A595" s="176"/>
      <c r="B595" s="244" t="s">
        <v>614</v>
      </c>
      <c r="C595" s="207" t="s">
        <v>278</v>
      </c>
      <c r="D595" s="193">
        <v>1</v>
      </c>
      <c r="E595" s="5"/>
    </row>
    <row r="596" spans="1:5" x14ac:dyDescent="0.25">
      <c r="A596" s="176"/>
      <c r="B596" s="244" t="s">
        <v>615</v>
      </c>
      <c r="C596" s="207" t="s">
        <v>278</v>
      </c>
      <c r="D596" s="193">
        <v>1</v>
      </c>
      <c r="E596" s="5"/>
    </row>
    <row r="597" spans="1:5" x14ac:dyDescent="0.25">
      <c r="A597" s="184"/>
      <c r="B597" s="244" t="s">
        <v>616</v>
      </c>
      <c r="C597" s="207" t="s">
        <v>278</v>
      </c>
      <c r="D597" s="193">
        <v>1</v>
      </c>
      <c r="E597" s="5"/>
    </row>
    <row r="598" spans="1:5" x14ac:dyDescent="0.25">
      <c r="A598" s="176"/>
      <c r="B598" s="244" t="s">
        <v>617</v>
      </c>
      <c r="C598" s="207" t="s">
        <v>278</v>
      </c>
      <c r="D598" s="193">
        <v>1</v>
      </c>
      <c r="E598" s="5"/>
    </row>
    <row r="599" spans="1:5" x14ac:dyDescent="0.25">
      <c r="A599" s="176"/>
      <c r="B599" s="244" t="s">
        <v>618</v>
      </c>
      <c r="C599" s="207" t="s">
        <v>278</v>
      </c>
      <c r="D599" s="193">
        <v>1</v>
      </c>
      <c r="E599" s="5"/>
    </row>
    <row r="600" spans="1:5" x14ac:dyDescent="0.25">
      <c r="A600" s="176"/>
      <c r="B600" s="244" t="s">
        <v>619</v>
      </c>
      <c r="C600" s="207" t="s">
        <v>278</v>
      </c>
      <c r="D600" s="193">
        <v>1</v>
      </c>
      <c r="E600" s="5"/>
    </row>
    <row r="601" spans="1:5" x14ac:dyDescent="0.25">
      <c r="A601" s="184"/>
      <c r="B601" s="244" t="s">
        <v>620</v>
      </c>
      <c r="C601" s="207" t="s">
        <v>278</v>
      </c>
      <c r="D601" s="193">
        <v>1</v>
      </c>
      <c r="E601" s="5"/>
    </row>
    <row r="602" spans="1:5" x14ac:dyDescent="0.25">
      <c r="A602" s="176"/>
      <c r="B602" s="244" t="s">
        <v>621</v>
      </c>
      <c r="C602" s="207" t="s">
        <v>278</v>
      </c>
      <c r="D602" s="193">
        <v>1</v>
      </c>
      <c r="E602" s="5"/>
    </row>
    <row r="603" spans="1:5" x14ac:dyDescent="0.25">
      <c r="A603" s="176"/>
      <c r="B603" s="244" t="s">
        <v>678</v>
      </c>
      <c r="C603" s="207" t="s">
        <v>278</v>
      </c>
      <c r="D603" s="193">
        <v>1</v>
      </c>
      <c r="E603" s="5"/>
    </row>
    <row r="604" spans="1:5" ht="15.75" thickBot="1" x14ac:dyDescent="0.3">
      <c r="A604" s="516" t="s">
        <v>43</v>
      </c>
      <c r="B604" s="517"/>
      <c r="C604" s="518"/>
      <c r="D604" s="179">
        <f>SUM(D591:D603)</f>
        <v>13</v>
      </c>
      <c r="E604" s="5"/>
    </row>
    <row r="605" spans="1:5" x14ac:dyDescent="0.25">
      <c r="A605" s="184" t="str">
        <f>ORÇAMENTO!A350</f>
        <v>14.2</v>
      </c>
      <c r="B605" s="185" t="str">
        <f>ORÇAMENTO!D350</f>
        <v>PORTA LISA 90X210 COM PORTAL E ALISAR SEM FERRAGENS</v>
      </c>
      <c r="C605" s="208" t="s">
        <v>375</v>
      </c>
      <c r="D605" s="193" t="s">
        <v>379</v>
      </c>
      <c r="E605" s="5"/>
    </row>
    <row r="606" spans="1:5" x14ac:dyDescent="0.25">
      <c r="A606" s="176"/>
      <c r="B606" s="236" t="s">
        <v>626</v>
      </c>
      <c r="C606" s="207" t="s">
        <v>278</v>
      </c>
      <c r="D606" s="193">
        <v>1</v>
      </c>
      <c r="E606" s="5"/>
    </row>
    <row r="607" spans="1:5" x14ac:dyDescent="0.25">
      <c r="A607" s="176"/>
      <c r="B607" s="236" t="s">
        <v>627</v>
      </c>
      <c r="C607" s="207" t="s">
        <v>278</v>
      </c>
      <c r="D607" s="193">
        <v>1</v>
      </c>
      <c r="E607" s="5"/>
    </row>
    <row r="608" spans="1:5" x14ac:dyDescent="0.25">
      <c r="A608" s="176"/>
      <c r="B608" s="236" t="s">
        <v>628</v>
      </c>
      <c r="C608" s="207" t="s">
        <v>278</v>
      </c>
      <c r="D608" s="193">
        <v>1</v>
      </c>
      <c r="E608" s="5"/>
    </row>
    <row r="609" spans="1:5" x14ac:dyDescent="0.25">
      <c r="A609" s="176"/>
      <c r="B609" s="236" t="s">
        <v>629</v>
      </c>
      <c r="C609" s="207" t="s">
        <v>278</v>
      </c>
      <c r="D609" s="193">
        <v>1</v>
      </c>
      <c r="E609" s="5"/>
    </row>
    <row r="610" spans="1:5" ht="15.75" thickBot="1" x14ac:dyDescent="0.3">
      <c r="A610" s="516" t="s">
        <v>43</v>
      </c>
      <c r="B610" s="517"/>
      <c r="C610" s="518"/>
      <c r="D610" s="179">
        <f>SUM(D606:D609)</f>
        <v>4</v>
      </c>
      <c r="E610" s="5"/>
    </row>
    <row r="611" spans="1:5" x14ac:dyDescent="0.25">
      <c r="A611" s="184" t="str">
        <f>ORÇAMENTO!A351</f>
        <v>14.3</v>
      </c>
      <c r="B611" s="185" t="str">
        <f>ORÇAMENTO!D351</f>
        <v>PORTA LISA 100X210 COM PORTAL E ALISAR SEM FERRAGENS</v>
      </c>
      <c r="C611" s="208" t="s">
        <v>375</v>
      </c>
      <c r="D611" s="193" t="s">
        <v>379</v>
      </c>
      <c r="E611" s="5"/>
    </row>
    <row r="612" spans="1:5" x14ac:dyDescent="0.25">
      <c r="A612" s="176"/>
      <c r="B612" s="236" t="s">
        <v>630</v>
      </c>
      <c r="C612" s="207" t="s">
        <v>278</v>
      </c>
      <c r="D612" s="193">
        <v>1</v>
      </c>
      <c r="E612" s="5"/>
    </row>
    <row r="613" spans="1:5" x14ac:dyDescent="0.25">
      <c r="A613" s="176"/>
      <c r="B613" s="236" t="s">
        <v>631</v>
      </c>
      <c r="C613" s="207" t="s">
        <v>278</v>
      </c>
      <c r="D613" s="193">
        <v>1</v>
      </c>
      <c r="E613" s="5"/>
    </row>
    <row r="614" spans="1:5" x14ac:dyDescent="0.25">
      <c r="A614" s="176"/>
      <c r="B614" s="236" t="s">
        <v>632</v>
      </c>
      <c r="C614" s="207" t="s">
        <v>278</v>
      </c>
      <c r="D614" s="193">
        <v>1</v>
      </c>
      <c r="E614" s="5"/>
    </row>
    <row r="615" spans="1:5" x14ac:dyDescent="0.25">
      <c r="A615" s="176"/>
      <c r="B615" s="236" t="s">
        <v>633</v>
      </c>
      <c r="C615" s="207" t="s">
        <v>278</v>
      </c>
      <c r="D615" s="193">
        <v>1</v>
      </c>
      <c r="E615" s="5"/>
    </row>
    <row r="616" spans="1:5" x14ac:dyDescent="0.25">
      <c r="A616" s="176"/>
      <c r="B616" s="236" t="s">
        <v>634</v>
      </c>
      <c r="C616" s="207" t="s">
        <v>278</v>
      </c>
      <c r="D616" s="193">
        <v>1</v>
      </c>
      <c r="E616" s="5"/>
    </row>
    <row r="617" spans="1:5" x14ac:dyDescent="0.25">
      <c r="A617" s="176"/>
      <c r="B617" s="236" t="s">
        <v>635</v>
      </c>
      <c r="C617" s="207" t="s">
        <v>278</v>
      </c>
      <c r="D617" s="193">
        <v>1</v>
      </c>
      <c r="E617" s="5"/>
    </row>
    <row r="618" spans="1:5" x14ac:dyDescent="0.25">
      <c r="A618" s="176"/>
      <c r="B618" s="236" t="s">
        <v>636</v>
      </c>
      <c r="C618" s="207" t="s">
        <v>278</v>
      </c>
      <c r="D618" s="193">
        <v>1</v>
      </c>
      <c r="E618" s="5"/>
    </row>
    <row r="619" spans="1:5" x14ac:dyDescent="0.25">
      <c r="A619" s="176"/>
      <c r="B619" s="236" t="s">
        <v>637</v>
      </c>
      <c r="C619" s="207" t="s">
        <v>278</v>
      </c>
      <c r="D619" s="193">
        <v>1</v>
      </c>
      <c r="E619" s="5"/>
    </row>
    <row r="620" spans="1:5" x14ac:dyDescent="0.25">
      <c r="A620" s="176"/>
      <c r="B620" s="236" t="s">
        <v>638</v>
      </c>
      <c r="C620" s="207" t="s">
        <v>278</v>
      </c>
      <c r="D620" s="193">
        <v>1</v>
      </c>
      <c r="E620" s="5"/>
    </row>
    <row r="621" spans="1:5" x14ac:dyDescent="0.25">
      <c r="A621" s="176"/>
      <c r="B621" s="236" t="s">
        <v>639</v>
      </c>
      <c r="C621" s="207" t="s">
        <v>278</v>
      </c>
      <c r="D621" s="193">
        <v>1</v>
      </c>
      <c r="E621" s="5"/>
    </row>
    <row r="622" spans="1:5" x14ac:dyDescent="0.25">
      <c r="A622" s="176"/>
      <c r="B622" s="236" t="s">
        <v>640</v>
      </c>
      <c r="C622" s="207" t="s">
        <v>278</v>
      </c>
      <c r="D622" s="193">
        <v>1</v>
      </c>
      <c r="E622" s="5"/>
    </row>
    <row r="623" spans="1:5" x14ac:dyDescent="0.25">
      <c r="A623" s="176"/>
      <c r="B623" s="236" t="s">
        <v>641</v>
      </c>
      <c r="C623" s="207" t="s">
        <v>278</v>
      </c>
      <c r="D623" s="193">
        <v>1</v>
      </c>
      <c r="E623" s="5"/>
    </row>
    <row r="624" spans="1:5" x14ac:dyDescent="0.25">
      <c r="A624" s="176"/>
      <c r="B624" s="236" t="s">
        <v>642</v>
      </c>
      <c r="C624" s="207" t="s">
        <v>278</v>
      </c>
      <c r="D624" s="193">
        <v>1</v>
      </c>
      <c r="E624" s="5"/>
    </row>
    <row r="625" spans="1:5" x14ac:dyDescent="0.25">
      <c r="A625" s="176"/>
      <c r="B625" s="236" t="s">
        <v>643</v>
      </c>
      <c r="C625" s="207" t="s">
        <v>278</v>
      </c>
      <c r="D625" s="193">
        <v>1</v>
      </c>
      <c r="E625" s="5"/>
    </row>
    <row r="626" spans="1:5" x14ac:dyDescent="0.25">
      <c r="A626" s="176"/>
      <c r="B626" s="236" t="s">
        <v>644</v>
      </c>
      <c r="C626" s="207" t="s">
        <v>278</v>
      </c>
      <c r="D626" s="193">
        <v>1</v>
      </c>
      <c r="E626" s="5"/>
    </row>
    <row r="627" spans="1:5" x14ac:dyDescent="0.25">
      <c r="A627" s="176"/>
      <c r="B627" s="236" t="s">
        <v>645</v>
      </c>
      <c r="C627" s="207" t="s">
        <v>278</v>
      </c>
      <c r="D627" s="193">
        <v>1</v>
      </c>
      <c r="E627" s="5"/>
    </row>
    <row r="628" spans="1:5" x14ac:dyDescent="0.25">
      <c r="A628" s="176"/>
      <c r="B628" s="236" t="s">
        <v>646</v>
      </c>
      <c r="C628" s="207" t="s">
        <v>278</v>
      </c>
      <c r="D628" s="193">
        <v>1</v>
      </c>
      <c r="E628" s="5"/>
    </row>
    <row r="629" spans="1:5" x14ac:dyDescent="0.25">
      <c r="A629" s="176"/>
      <c r="B629" s="236" t="s">
        <v>647</v>
      </c>
      <c r="C629" s="207" t="s">
        <v>278</v>
      </c>
      <c r="D629" s="193">
        <v>1</v>
      </c>
      <c r="E629" s="5"/>
    </row>
    <row r="630" spans="1:5" x14ac:dyDescent="0.25">
      <c r="A630" s="176"/>
      <c r="B630" s="236" t="s">
        <v>648</v>
      </c>
      <c r="C630" s="207" t="s">
        <v>278</v>
      </c>
      <c r="D630" s="193">
        <v>1</v>
      </c>
      <c r="E630" s="5"/>
    </row>
    <row r="631" spans="1:5" x14ac:dyDescent="0.25">
      <c r="A631" s="176"/>
      <c r="B631" s="236" t="s">
        <v>649</v>
      </c>
      <c r="C631" s="207" t="s">
        <v>278</v>
      </c>
      <c r="D631" s="193">
        <v>1</v>
      </c>
      <c r="E631" s="5"/>
    </row>
    <row r="632" spans="1:5" x14ac:dyDescent="0.25">
      <c r="A632" s="176"/>
      <c r="B632" s="236" t="s">
        <v>650</v>
      </c>
      <c r="C632" s="207" t="s">
        <v>278</v>
      </c>
      <c r="D632" s="193">
        <v>1</v>
      </c>
      <c r="E632" s="5"/>
    </row>
    <row r="633" spans="1:5" x14ac:dyDescent="0.25">
      <c r="A633" s="176"/>
      <c r="B633" s="236" t="s">
        <v>651</v>
      </c>
      <c r="C633" s="207" t="s">
        <v>278</v>
      </c>
      <c r="D633" s="193">
        <v>1</v>
      </c>
      <c r="E633" s="5"/>
    </row>
    <row r="634" spans="1:5" x14ac:dyDescent="0.25">
      <c r="A634" s="176"/>
      <c r="B634" s="236" t="s">
        <v>652</v>
      </c>
      <c r="C634" s="207" t="s">
        <v>278</v>
      </c>
      <c r="D634" s="193">
        <v>1</v>
      </c>
      <c r="E634" s="5"/>
    </row>
    <row r="635" spans="1:5" x14ac:dyDescent="0.25">
      <c r="A635" s="176"/>
      <c r="B635" s="236" t="s">
        <v>653</v>
      </c>
      <c r="C635" s="207" t="s">
        <v>278</v>
      </c>
      <c r="D635" s="193">
        <v>1</v>
      </c>
      <c r="E635" s="5"/>
    </row>
    <row r="636" spans="1:5" x14ac:dyDescent="0.25">
      <c r="A636" s="176"/>
      <c r="B636" s="236" t="s">
        <v>654</v>
      </c>
      <c r="C636" s="207" t="s">
        <v>278</v>
      </c>
      <c r="D636" s="193">
        <v>1</v>
      </c>
      <c r="E636" s="5"/>
    </row>
    <row r="637" spans="1:5" x14ac:dyDescent="0.25">
      <c r="A637" s="176"/>
      <c r="B637" s="236" t="s">
        <v>655</v>
      </c>
      <c r="C637" s="207" t="s">
        <v>278</v>
      </c>
      <c r="D637" s="193">
        <v>1</v>
      </c>
      <c r="E637" s="5"/>
    </row>
    <row r="638" spans="1:5" x14ac:dyDescent="0.25">
      <c r="A638" s="176"/>
      <c r="B638" s="236" t="s">
        <v>656</v>
      </c>
      <c r="C638" s="207" t="s">
        <v>278</v>
      </c>
      <c r="D638" s="193">
        <v>1</v>
      </c>
      <c r="E638" s="5"/>
    </row>
    <row r="639" spans="1:5" x14ac:dyDescent="0.25">
      <c r="A639" s="176"/>
      <c r="B639" s="236" t="s">
        <v>698</v>
      </c>
      <c r="C639" s="207" t="s">
        <v>278</v>
      </c>
      <c r="D639" s="193">
        <v>1</v>
      </c>
      <c r="E639" s="5"/>
    </row>
    <row r="640" spans="1:5" ht="15.75" thickBot="1" x14ac:dyDescent="0.3">
      <c r="A640" s="516" t="s">
        <v>43</v>
      </c>
      <c r="B640" s="517"/>
      <c r="C640" s="518"/>
      <c r="D640" s="179">
        <f>SUM(D612:D639)</f>
        <v>28</v>
      </c>
      <c r="E640" s="5"/>
    </row>
    <row r="641" spans="1:5" x14ac:dyDescent="0.25">
      <c r="A641" s="184" t="str">
        <f>ORÇAMENTO!A352</f>
        <v>14.4</v>
      </c>
      <c r="B641" s="185" t="str">
        <f>ORÇAMENTO!D352</f>
        <v>FOLHA DE PORTA LISA 60/70/80X210</v>
      </c>
      <c r="C641" s="208" t="str">
        <f>ORÇAMENTO!F352</f>
        <v>und.</v>
      </c>
      <c r="D641" s="193" t="s">
        <v>379</v>
      </c>
      <c r="E641" s="5"/>
    </row>
    <row r="642" spans="1:5" x14ac:dyDescent="0.25">
      <c r="A642" s="176"/>
      <c r="B642" s="229" t="s">
        <v>689</v>
      </c>
      <c r="C642" s="207" t="s">
        <v>278</v>
      </c>
      <c r="D642" s="193">
        <v>2</v>
      </c>
      <c r="E642" s="5"/>
    </row>
    <row r="643" spans="1:5" x14ac:dyDescent="0.25">
      <c r="A643" s="176"/>
      <c r="B643" s="236" t="s">
        <v>690</v>
      </c>
      <c r="C643" s="207" t="s">
        <v>278</v>
      </c>
      <c r="D643" s="193">
        <v>4</v>
      </c>
      <c r="E643" s="5"/>
    </row>
    <row r="644" spans="1:5" x14ac:dyDescent="0.25">
      <c r="A644" s="176"/>
      <c r="B644" s="236" t="s">
        <v>691</v>
      </c>
      <c r="C644" s="207" t="s">
        <v>278</v>
      </c>
      <c r="D644" s="193">
        <v>2</v>
      </c>
      <c r="E644" s="5"/>
    </row>
    <row r="645" spans="1:5" x14ac:dyDescent="0.25">
      <c r="A645" s="176"/>
      <c r="B645" s="236" t="s">
        <v>692</v>
      </c>
      <c r="C645" s="207" t="s">
        <v>278</v>
      </c>
      <c r="D645" s="193">
        <v>2</v>
      </c>
      <c r="E645" s="5"/>
    </row>
    <row r="646" spans="1:5" x14ac:dyDescent="0.25">
      <c r="A646" s="176"/>
      <c r="B646" s="236" t="s">
        <v>693</v>
      </c>
      <c r="C646" s="207" t="s">
        <v>278</v>
      </c>
      <c r="D646" s="193">
        <v>2</v>
      </c>
      <c r="E646" s="5"/>
    </row>
    <row r="647" spans="1:5" x14ac:dyDescent="0.25">
      <c r="A647" s="176"/>
      <c r="B647" s="236" t="s">
        <v>694</v>
      </c>
      <c r="C647" s="207" t="s">
        <v>278</v>
      </c>
      <c r="D647" s="193">
        <v>2</v>
      </c>
      <c r="E647" s="5"/>
    </row>
    <row r="648" spans="1:5" x14ac:dyDescent="0.25">
      <c r="A648" s="176"/>
      <c r="B648" s="236" t="s">
        <v>695</v>
      </c>
      <c r="C648" s="207" t="s">
        <v>278</v>
      </c>
      <c r="D648" s="193">
        <v>2</v>
      </c>
      <c r="E648" s="5"/>
    </row>
    <row r="649" spans="1:5" x14ac:dyDescent="0.25">
      <c r="A649" s="176"/>
      <c r="B649" s="236" t="s">
        <v>697</v>
      </c>
      <c r="C649" s="207" t="s">
        <v>278</v>
      </c>
      <c r="D649" s="193">
        <v>2</v>
      </c>
      <c r="E649" s="5"/>
    </row>
    <row r="650" spans="1:5" ht="15.75" thickBot="1" x14ac:dyDescent="0.3">
      <c r="A650" s="516" t="s">
        <v>43</v>
      </c>
      <c r="B650" s="517"/>
      <c r="C650" s="518"/>
      <c r="D650" s="179">
        <f>SUM(D642:D649)</f>
        <v>18</v>
      </c>
      <c r="E650" s="5"/>
    </row>
    <row r="651" spans="1:5" x14ac:dyDescent="0.25">
      <c r="A651" s="184" t="str">
        <f>ORÇAMENTO!A353</f>
        <v>14.5</v>
      </c>
      <c r="B651" s="185" t="str">
        <f>ORÇAMENTO!D353</f>
        <v>ALIZAR</v>
      </c>
      <c r="C651" s="208" t="s">
        <v>108</v>
      </c>
      <c r="D651" s="193" t="s">
        <v>379</v>
      </c>
      <c r="E651" s="5"/>
    </row>
    <row r="652" spans="1:5" x14ac:dyDescent="0.25">
      <c r="A652" s="176" t="s">
        <v>367</v>
      </c>
      <c r="B652" s="236" t="s">
        <v>1267</v>
      </c>
      <c r="C652" s="207" t="s">
        <v>108</v>
      </c>
      <c r="D652" s="193">
        <v>8</v>
      </c>
      <c r="E652" s="5"/>
    </row>
    <row r="653" spans="1:5" x14ac:dyDescent="0.25">
      <c r="A653" s="187" t="s">
        <v>368</v>
      </c>
      <c r="B653" s="244" t="s">
        <v>1265</v>
      </c>
      <c r="C653" s="207" t="s">
        <v>108</v>
      </c>
      <c r="D653" s="193">
        <v>11.6</v>
      </c>
      <c r="E653" s="5"/>
    </row>
    <row r="654" spans="1:5" x14ac:dyDescent="0.25">
      <c r="A654" s="187" t="s">
        <v>369</v>
      </c>
      <c r="B654" s="236" t="s">
        <v>1266</v>
      </c>
      <c r="C654" s="207" t="s">
        <v>108</v>
      </c>
      <c r="D654" s="193">
        <v>1</v>
      </c>
      <c r="E654" s="5"/>
    </row>
    <row r="655" spans="1:5" x14ac:dyDescent="0.25">
      <c r="A655" s="187" t="s">
        <v>377</v>
      </c>
      <c r="B655" s="244" t="s">
        <v>1265</v>
      </c>
      <c r="C655" s="207" t="s">
        <v>108</v>
      </c>
      <c r="D655" s="193">
        <v>11.2</v>
      </c>
      <c r="E655" s="5"/>
    </row>
    <row r="656" spans="1:5" ht="15.75" thickBot="1" x14ac:dyDescent="0.3">
      <c r="A656" s="516" t="s">
        <v>1268</v>
      </c>
      <c r="B656" s="517"/>
      <c r="C656" s="518"/>
      <c r="D656" s="179">
        <f>(D652*D653)+(D654*D655)</f>
        <v>104</v>
      </c>
      <c r="E656" s="5"/>
    </row>
    <row r="657" spans="1:5" x14ac:dyDescent="0.25">
      <c r="A657" s="184" t="str">
        <f>ORÇAMENTO!A354</f>
        <v>14.6</v>
      </c>
      <c r="B657" s="185" t="str">
        <f>ORÇAMENTO!D354</f>
        <v>PORTAL ( INCLUSO ENCHIMENTO COM ALVENARIA)</v>
      </c>
      <c r="C657" s="208" t="str">
        <f>ORÇAMENTO!F354</f>
        <v>Jg</v>
      </c>
      <c r="D657" s="193" t="s">
        <v>379</v>
      </c>
      <c r="E657" s="5"/>
    </row>
    <row r="658" spans="1:5" x14ac:dyDescent="0.25">
      <c r="A658" s="176"/>
      <c r="B658" s="236" t="s">
        <v>696</v>
      </c>
      <c r="C658" s="207" t="s">
        <v>278</v>
      </c>
      <c r="D658" s="193">
        <v>9</v>
      </c>
      <c r="E658" s="5"/>
    </row>
    <row r="659" spans="1:5" ht="15.75" thickBot="1" x14ac:dyDescent="0.3">
      <c r="A659" s="516" t="s">
        <v>43</v>
      </c>
      <c r="B659" s="517"/>
      <c r="C659" s="518"/>
      <c r="D659" s="179">
        <f>SUM(D658:D658)</f>
        <v>9</v>
      </c>
      <c r="E659" s="5"/>
    </row>
    <row r="660" spans="1:5" s="94" customFormat="1" x14ac:dyDescent="0.25">
      <c r="A660" s="184" t="s">
        <v>1365</v>
      </c>
      <c r="B660" s="185" t="s">
        <v>1366</v>
      </c>
      <c r="C660" s="208" t="s">
        <v>375</v>
      </c>
      <c r="D660" s="193" t="s">
        <v>379</v>
      </c>
    </row>
    <row r="661" spans="1:5" s="94" customFormat="1" x14ac:dyDescent="0.25">
      <c r="A661" s="176"/>
      <c r="B661" s="177" t="s">
        <v>1369</v>
      </c>
      <c r="C661" s="176" t="s">
        <v>278</v>
      </c>
      <c r="D661" s="176">
        <v>1</v>
      </c>
    </row>
    <row r="662" spans="1:5" s="94" customFormat="1" x14ac:dyDescent="0.25">
      <c r="A662" s="176"/>
      <c r="B662" s="177" t="s">
        <v>809</v>
      </c>
      <c r="C662" s="176" t="s">
        <v>375</v>
      </c>
      <c r="D662" s="176">
        <v>1</v>
      </c>
    </row>
    <row r="663" spans="1:5" s="94" customFormat="1" ht="15.75" thickBot="1" x14ac:dyDescent="0.3">
      <c r="A663" s="516" t="s">
        <v>43</v>
      </c>
      <c r="B663" s="517"/>
      <c r="C663" s="518"/>
      <c r="D663" s="179">
        <f>SUM(D661:D662)</f>
        <v>2</v>
      </c>
    </row>
    <row r="664" spans="1:5" s="94" customFormat="1" x14ac:dyDescent="0.25">
      <c r="A664" s="184" t="s">
        <v>1370</v>
      </c>
      <c r="B664" s="185" t="s">
        <v>1367</v>
      </c>
      <c r="C664" s="208" t="s">
        <v>375</v>
      </c>
      <c r="D664" s="193" t="s">
        <v>379</v>
      </c>
    </row>
    <row r="665" spans="1:5" s="94" customFormat="1" x14ac:dyDescent="0.25">
      <c r="A665" s="176"/>
      <c r="B665" s="177" t="s">
        <v>1368</v>
      </c>
      <c r="C665" s="176" t="s">
        <v>278</v>
      </c>
      <c r="D665" s="176">
        <v>1</v>
      </c>
    </row>
    <row r="666" spans="1:5" s="94" customFormat="1" ht="15.75" thickBot="1" x14ac:dyDescent="0.3">
      <c r="A666" s="516" t="s">
        <v>43</v>
      </c>
      <c r="B666" s="517"/>
      <c r="C666" s="518"/>
      <c r="D666" s="179">
        <f>SUM(D665:D665)</f>
        <v>1</v>
      </c>
    </row>
    <row r="667" spans="1:5" ht="15.75" thickBot="1" x14ac:dyDescent="0.3">
      <c r="A667" s="169">
        <v>15</v>
      </c>
      <c r="B667" s="170" t="s">
        <v>34</v>
      </c>
      <c r="C667" s="171"/>
      <c r="D667" s="171"/>
      <c r="E667" s="5"/>
    </row>
    <row r="668" spans="1:5" ht="15.75" thickBot="1" x14ac:dyDescent="0.3">
      <c r="A668" s="172" t="s">
        <v>2</v>
      </c>
      <c r="B668" s="172" t="s">
        <v>316</v>
      </c>
      <c r="C668" s="172" t="s">
        <v>317</v>
      </c>
      <c r="D668" s="172" t="s">
        <v>318</v>
      </c>
      <c r="E668" s="5"/>
    </row>
    <row r="669" spans="1:5" x14ac:dyDescent="0.25">
      <c r="A669" s="184" t="s">
        <v>236</v>
      </c>
      <c r="B669" s="185" t="str">
        <f>ORÇAMENTO!D360</f>
        <v>PORTA ABRIR/VENEZIANA PF-4 C/FERRAGENS</v>
      </c>
      <c r="C669" s="208" t="s">
        <v>195</v>
      </c>
      <c r="D669" s="193" t="s">
        <v>380</v>
      </c>
      <c r="E669" s="5"/>
    </row>
    <row r="670" spans="1:5" x14ac:dyDescent="0.25">
      <c r="A670" s="176"/>
      <c r="B670" s="244" t="s">
        <v>660</v>
      </c>
      <c r="C670" s="207" t="s">
        <v>195</v>
      </c>
      <c r="D670" s="234">
        <f>2*0.8*1.8</f>
        <v>2.8800000000000003</v>
      </c>
      <c r="E670" s="5"/>
    </row>
    <row r="671" spans="1:5" x14ac:dyDescent="0.25">
      <c r="A671" s="176"/>
      <c r="B671" s="244" t="s">
        <v>661</v>
      </c>
      <c r="C671" s="207" t="s">
        <v>195</v>
      </c>
      <c r="D671" s="234">
        <f>2*0.8*1.8</f>
        <v>2.8800000000000003</v>
      </c>
      <c r="E671" s="5"/>
    </row>
    <row r="672" spans="1:5" x14ac:dyDescent="0.25">
      <c r="A672" s="176"/>
      <c r="B672" s="244" t="s">
        <v>662</v>
      </c>
      <c r="C672" s="207" t="s">
        <v>195</v>
      </c>
      <c r="D672" s="234">
        <f>0.9*2.1</f>
        <v>1.8900000000000001</v>
      </c>
      <c r="E672" s="5"/>
    </row>
    <row r="673" spans="1:5" x14ac:dyDescent="0.25">
      <c r="A673" s="176"/>
      <c r="B673" s="236" t="s">
        <v>663</v>
      </c>
      <c r="C673" s="207" t="s">
        <v>195</v>
      </c>
      <c r="D673" s="234">
        <f>2*0.8*1.8</f>
        <v>2.8800000000000003</v>
      </c>
      <c r="E673" s="5"/>
    </row>
    <row r="674" spans="1:5" x14ac:dyDescent="0.25">
      <c r="A674" s="176"/>
      <c r="B674" s="236" t="s">
        <v>664</v>
      </c>
      <c r="C674" s="207" t="s">
        <v>195</v>
      </c>
      <c r="D674" s="234">
        <f>3*0.8*1.8</f>
        <v>4.3200000000000012</v>
      </c>
      <c r="E674" s="5"/>
    </row>
    <row r="675" spans="1:5" x14ac:dyDescent="0.25">
      <c r="A675" s="176"/>
      <c r="B675" s="244" t="s">
        <v>665</v>
      </c>
      <c r="C675" s="207" t="s">
        <v>195</v>
      </c>
      <c r="D675" s="234">
        <f>1*2.1*4</f>
        <v>8.4</v>
      </c>
      <c r="E675" s="5"/>
    </row>
    <row r="676" spans="1:5" x14ac:dyDescent="0.25">
      <c r="A676" s="176"/>
      <c r="B676" s="236" t="s">
        <v>666</v>
      </c>
      <c r="C676" s="207" t="s">
        <v>195</v>
      </c>
      <c r="D676" s="234">
        <f>1*2.1</f>
        <v>2.1</v>
      </c>
      <c r="E676" s="5"/>
    </row>
    <row r="677" spans="1:5" x14ac:dyDescent="0.25">
      <c r="A677" s="176"/>
      <c r="B677" s="244" t="s">
        <v>681</v>
      </c>
      <c r="C677" s="207" t="s">
        <v>195</v>
      </c>
      <c r="D677" s="234">
        <f>1*2.1</f>
        <v>2.1</v>
      </c>
      <c r="E677" s="5"/>
    </row>
    <row r="678" spans="1:5" ht="15.75" thickBot="1" x14ac:dyDescent="0.3">
      <c r="A678" s="516" t="s">
        <v>43</v>
      </c>
      <c r="B678" s="517"/>
      <c r="C678" s="518"/>
      <c r="D678" s="179">
        <f>SUM(D670:D677)</f>
        <v>27.450000000000003</v>
      </c>
      <c r="E678" s="5"/>
    </row>
    <row r="679" spans="1:5" s="9" customFormat="1" x14ac:dyDescent="0.25">
      <c r="A679" s="184" t="str">
        <f>ORÇAMENTO!A361</f>
        <v>15.2</v>
      </c>
      <c r="B679" s="185" t="str">
        <f>ORÇAMENTO!D361</f>
        <v>PORTA DE CORRER C/BASCULA PF-7/PF-8 C/ FERRAGENS</v>
      </c>
      <c r="C679" s="208" t="s">
        <v>195</v>
      </c>
      <c r="D679" s="193" t="s">
        <v>380</v>
      </c>
    </row>
    <row r="680" spans="1:5" s="9" customFormat="1" x14ac:dyDescent="0.25">
      <c r="A680" s="176"/>
      <c r="B680" s="181" t="s">
        <v>699</v>
      </c>
      <c r="C680" s="207" t="s">
        <v>195</v>
      </c>
      <c r="D680" s="193">
        <f>2*2.1</f>
        <v>4.2</v>
      </c>
    </row>
    <row r="681" spans="1:5" s="9" customFormat="1" ht="15.75" thickBot="1" x14ac:dyDescent="0.3">
      <c r="A681" s="516" t="s">
        <v>43</v>
      </c>
      <c r="B681" s="517"/>
      <c r="C681" s="518"/>
      <c r="D681" s="179">
        <f>D680</f>
        <v>4.2</v>
      </c>
    </row>
    <row r="682" spans="1:5" s="9" customFormat="1" x14ac:dyDescent="0.25">
      <c r="A682" s="184" t="str">
        <f>ORÇAMENTO!A362</f>
        <v>15.3</v>
      </c>
      <c r="B682" s="185" t="str">
        <f>ORÇAMENTO!D362</f>
        <v>PORTAO CORRER / ABRIR CONJUGADO PT-8 C/FERRAGENS</v>
      </c>
      <c r="C682" s="208" t="s">
        <v>195</v>
      </c>
      <c r="D682" s="193" t="s">
        <v>380</v>
      </c>
    </row>
    <row r="683" spans="1:5" s="9" customFormat="1" x14ac:dyDescent="0.25">
      <c r="A683" s="176"/>
      <c r="B683" s="181" t="s">
        <v>965</v>
      </c>
      <c r="C683" s="207" t="s">
        <v>195</v>
      </c>
      <c r="D683" s="193">
        <f>6*3</f>
        <v>18</v>
      </c>
    </row>
    <row r="684" spans="1:5" s="9" customFormat="1" x14ac:dyDescent="0.25">
      <c r="A684" s="176"/>
      <c r="B684" s="181" t="s">
        <v>966</v>
      </c>
      <c r="C684" s="207" t="s">
        <v>195</v>
      </c>
      <c r="D684" s="193">
        <f>6*3</f>
        <v>18</v>
      </c>
    </row>
    <row r="685" spans="1:5" s="9" customFormat="1" ht="15.75" thickBot="1" x14ac:dyDescent="0.3">
      <c r="A685" s="516" t="s">
        <v>43</v>
      </c>
      <c r="B685" s="517"/>
      <c r="C685" s="518"/>
      <c r="D685" s="179">
        <f>SUM(D683:D684)</f>
        <v>36</v>
      </c>
    </row>
    <row r="686" spans="1:5" s="9" customFormat="1" x14ac:dyDescent="0.25">
      <c r="A686" s="184" t="str">
        <f>ORÇAMENTO!A363</f>
        <v>15.4</v>
      </c>
      <c r="B686" s="185" t="str">
        <f>ORÇAMENTO!D363</f>
        <v>PORTAO DE FERRO REDONDO PT-6 C/FERRAGENS</v>
      </c>
      <c r="C686" s="208" t="s">
        <v>195</v>
      </c>
      <c r="D686" s="193" t="s">
        <v>380</v>
      </c>
    </row>
    <row r="687" spans="1:5" s="9" customFormat="1" x14ac:dyDescent="0.25">
      <c r="A687" s="176"/>
      <c r="B687" s="181" t="s">
        <v>703</v>
      </c>
      <c r="C687" s="207" t="s">
        <v>195</v>
      </c>
      <c r="D687" s="193">
        <f>2*2.1</f>
        <v>4.2</v>
      </c>
    </row>
    <row r="688" spans="1:5" s="9" customFormat="1" x14ac:dyDescent="0.25">
      <c r="A688" s="176"/>
      <c r="B688" s="181" t="s">
        <v>704</v>
      </c>
      <c r="C688" s="207" t="s">
        <v>195</v>
      </c>
      <c r="D688" s="193">
        <f t="shared" ref="D688:D691" si="1">2*2.1</f>
        <v>4.2</v>
      </c>
    </row>
    <row r="689" spans="1:4" s="9" customFormat="1" x14ac:dyDescent="0.25">
      <c r="A689" s="176"/>
      <c r="B689" s="181" t="s">
        <v>705</v>
      </c>
      <c r="C689" s="207" t="s">
        <v>195</v>
      </c>
      <c r="D689" s="193">
        <f t="shared" si="1"/>
        <v>4.2</v>
      </c>
    </row>
    <row r="690" spans="1:4" s="9" customFormat="1" x14ac:dyDescent="0.25">
      <c r="A690" s="176"/>
      <c r="B690" s="181" t="s">
        <v>706</v>
      </c>
      <c r="C690" s="207" t="s">
        <v>195</v>
      </c>
      <c r="D690" s="193">
        <f t="shared" si="1"/>
        <v>4.2</v>
      </c>
    </row>
    <row r="691" spans="1:4" s="9" customFormat="1" x14ac:dyDescent="0.25">
      <c r="A691" s="176"/>
      <c r="B691" s="181" t="s">
        <v>707</v>
      </c>
      <c r="C691" s="207" t="s">
        <v>195</v>
      </c>
      <c r="D691" s="193">
        <f t="shared" si="1"/>
        <v>4.2</v>
      </c>
    </row>
    <row r="692" spans="1:4" s="9" customFormat="1" ht="15.75" thickBot="1" x14ac:dyDescent="0.3">
      <c r="A692" s="516" t="s">
        <v>43</v>
      </c>
      <c r="B692" s="517"/>
      <c r="C692" s="518"/>
      <c r="D692" s="179">
        <f>SUM(D687:D691)</f>
        <v>21</v>
      </c>
    </row>
    <row r="693" spans="1:4" s="9" customFormat="1" x14ac:dyDescent="0.25">
      <c r="A693" s="184" t="str">
        <f>ORÇAMENTO!A364</f>
        <v>15.5</v>
      </c>
      <c r="B693" s="185" t="str">
        <f>ORÇAMENTO!D364</f>
        <v>PORTA DE ALUMÍNIO VAI E VEM C/ 1 FOLHA</v>
      </c>
      <c r="C693" s="208" t="s">
        <v>195</v>
      </c>
      <c r="D693" s="193" t="s">
        <v>380</v>
      </c>
    </row>
    <row r="694" spans="1:4" s="9" customFormat="1" x14ac:dyDescent="0.25">
      <c r="A694" s="176"/>
      <c r="B694" s="181" t="s">
        <v>750</v>
      </c>
      <c r="C694" s="207" t="s">
        <v>195</v>
      </c>
      <c r="D694" s="193">
        <f>1*2.1</f>
        <v>2.1</v>
      </c>
    </row>
    <row r="695" spans="1:4" s="9" customFormat="1" ht="15.75" thickBot="1" x14ac:dyDescent="0.3">
      <c r="A695" s="516" t="s">
        <v>43</v>
      </c>
      <c r="B695" s="517"/>
      <c r="C695" s="518"/>
      <c r="D695" s="179">
        <f>D694</f>
        <v>2.1</v>
      </c>
    </row>
    <row r="696" spans="1:4" s="9" customFormat="1" x14ac:dyDescent="0.25">
      <c r="A696" s="184" t="str">
        <f>ORÇAMENTO!A365</f>
        <v>15.6</v>
      </c>
      <c r="B696" s="185" t="str">
        <f>ORÇAMENTO!D365</f>
        <v>ESQUADRIA ALUMÍNIO ANODIZADO MÁXIMO AR C/FERRAGENS (M.O.FAB.INC.MAT.)</v>
      </c>
      <c r="C696" s="208" t="s">
        <v>195</v>
      </c>
      <c r="D696" s="193" t="s">
        <v>380</v>
      </c>
    </row>
    <row r="697" spans="1:4" s="9" customFormat="1" x14ac:dyDescent="0.25">
      <c r="A697" s="176"/>
      <c r="B697" s="181" t="s">
        <v>789</v>
      </c>
      <c r="C697" s="207" t="s">
        <v>195</v>
      </c>
      <c r="D697" s="193">
        <f>24*(1*1.8)</f>
        <v>43.2</v>
      </c>
    </row>
    <row r="698" spans="1:4" s="9" customFormat="1" x14ac:dyDescent="0.25">
      <c r="A698" s="176"/>
      <c r="B698" s="181" t="s">
        <v>790</v>
      </c>
      <c r="C698" s="207" t="s">
        <v>195</v>
      </c>
      <c r="D698" s="193">
        <f>18*(2*0.6)</f>
        <v>21.599999999999998</v>
      </c>
    </row>
    <row r="699" spans="1:4" s="9" customFormat="1" x14ac:dyDescent="0.25">
      <c r="A699" s="176"/>
      <c r="B699" s="181" t="s">
        <v>791</v>
      </c>
      <c r="C699" s="207" t="s">
        <v>195</v>
      </c>
      <c r="D699" s="193">
        <f>17*(0.8*0.6)</f>
        <v>8.16</v>
      </c>
    </row>
    <row r="700" spans="1:4" s="9" customFormat="1" x14ac:dyDescent="0.25">
      <c r="A700" s="176"/>
      <c r="B700" s="181" t="s">
        <v>792</v>
      </c>
      <c r="C700" s="207" t="s">
        <v>195</v>
      </c>
      <c r="D700" s="193">
        <f>10*(1.2*0.6)</f>
        <v>7.1999999999999993</v>
      </c>
    </row>
    <row r="701" spans="1:4" s="9" customFormat="1" ht="15.75" thickBot="1" x14ac:dyDescent="0.3">
      <c r="A701" s="516" t="s">
        <v>43</v>
      </c>
      <c r="B701" s="517"/>
      <c r="C701" s="518"/>
      <c r="D701" s="179">
        <f>SUM(D697:D700)</f>
        <v>80.16</v>
      </c>
    </row>
    <row r="702" spans="1:4" s="9" customFormat="1" ht="24" x14ac:dyDescent="0.25">
      <c r="A702" s="184" t="str">
        <f>ORÇAMENTO!A366</f>
        <v>15.7</v>
      </c>
      <c r="B702" s="185" t="str">
        <f>ORÇAMENTO!D366</f>
        <v>ESQUADRIA DE ALUMÍNIO NATURAL CORRER / VIDRO 2 FOLHAS
C/FERRAGENS.(M.O.FAB.INC.MAT.)</v>
      </c>
      <c r="C702" s="208" t="s">
        <v>195</v>
      </c>
      <c r="D702" s="193" t="s">
        <v>380</v>
      </c>
    </row>
    <row r="703" spans="1:4" s="9" customFormat="1" x14ac:dyDescent="0.25">
      <c r="A703" s="176"/>
      <c r="B703" s="181" t="s">
        <v>794</v>
      </c>
      <c r="C703" s="207" t="s">
        <v>195</v>
      </c>
      <c r="D703" s="193">
        <f>15*(1.5*1)</f>
        <v>22.5</v>
      </c>
    </row>
    <row r="704" spans="1:4" s="9" customFormat="1" ht="15.75" thickBot="1" x14ac:dyDescent="0.3">
      <c r="A704" s="516" t="s">
        <v>43</v>
      </c>
      <c r="B704" s="517"/>
      <c r="C704" s="518"/>
      <c r="D704" s="179">
        <f>D703</f>
        <v>22.5</v>
      </c>
    </row>
    <row r="705" spans="1:5" ht="15.75" thickBot="1" x14ac:dyDescent="0.3">
      <c r="A705" s="169">
        <v>16</v>
      </c>
      <c r="B705" s="170" t="s">
        <v>35</v>
      </c>
      <c r="C705" s="171"/>
      <c r="D705" s="171"/>
      <c r="E705" s="5"/>
    </row>
    <row r="706" spans="1:5" ht="15.75" thickBot="1" x14ac:dyDescent="0.3">
      <c r="A706" s="172" t="s">
        <v>2</v>
      </c>
      <c r="B706" s="172" t="s">
        <v>316</v>
      </c>
      <c r="C706" s="172" t="s">
        <v>317</v>
      </c>
      <c r="D706" s="172" t="s">
        <v>318</v>
      </c>
      <c r="E706" s="5"/>
    </row>
    <row r="707" spans="1:5" x14ac:dyDescent="0.25">
      <c r="A707" s="184" t="str">
        <f>ORÇAMENTO!A370</f>
        <v>16.1</v>
      </c>
      <c r="B707" s="185" t="str">
        <f>ORÇAMENTO!D370</f>
        <v xml:space="preserve">VIDRO LISO 4 MM - COLOCADO </v>
      </c>
      <c r="C707" s="208" t="s">
        <v>195</v>
      </c>
      <c r="D707" s="193" t="s">
        <v>381</v>
      </c>
      <c r="E707" s="5"/>
    </row>
    <row r="708" spans="1:5" x14ac:dyDescent="0.25">
      <c r="A708" s="176"/>
      <c r="B708" s="181" t="s">
        <v>796</v>
      </c>
      <c r="C708" s="207" t="s">
        <v>195</v>
      </c>
      <c r="D708" s="193">
        <f>D701+D704</f>
        <v>102.66</v>
      </c>
      <c r="E708" s="5"/>
    </row>
    <row r="709" spans="1:5" ht="15.75" thickBot="1" x14ac:dyDescent="0.3">
      <c r="A709" s="516" t="s">
        <v>8</v>
      </c>
      <c r="B709" s="517"/>
      <c r="C709" s="518"/>
      <c r="D709" s="179">
        <f>D708</f>
        <v>102.66</v>
      </c>
      <c r="E709" s="5"/>
    </row>
    <row r="710" spans="1:5" x14ac:dyDescent="0.25">
      <c r="A710" s="184" t="str">
        <f>ORÇAMENTO!A371</f>
        <v>16.2</v>
      </c>
      <c r="B710" s="185" t="str">
        <f>ORÇAMENTO!D371</f>
        <v>PORTA DE VIDRO TEMPERADO CORRER C/ 4 FOLHA</v>
      </c>
      <c r="C710" s="208" t="str">
        <f>ORÇAMENTO!F371</f>
        <v>und.</v>
      </c>
      <c r="D710" s="193" t="s">
        <v>786</v>
      </c>
      <c r="E710" s="5"/>
    </row>
    <row r="711" spans="1:5" x14ac:dyDescent="0.25">
      <c r="A711" s="176"/>
      <c r="B711" s="181" t="s">
        <v>785</v>
      </c>
      <c r="C711" s="207" t="s">
        <v>278</v>
      </c>
      <c r="D711" s="193">
        <v>1</v>
      </c>
      <c r="E711" s="5"/>
    </row>
    <row r="712" spans="1:5" ht="15.75" thickBot="1" x14ac:dyDescent="0.3">
      <c r="A712" s="516" t="s">
        <v>8</v>
      </c>
      <c r="B712" s="517"/>
      <c r="C712" s="518"/>
      <c r="D712" s="179">
        <f>D711</f>
        <v>1</v>
      </c>
      <c r="E712" s="5"/>
    </row>
    <row r="713" spans="1:5" x14ac:dyDescent="0.25">
      <c r="A713" s="184" t="str">
        <f>ORÇAMENTO!A372</f>
        <v>16.3</v>
      </c>
      <c r="B713" s="185" t="str">
        <f>ORÇAMENTO!D372</f>
        <v>PORTA DE VIDRO TEMPERADO CORRER C/ 2 FOLHA</v>
      </c>
      <c r="C713" s="208" t="str">
        <f>ORÇAMENTO!F372</f>
        <v>und.</v>
      </c>
      <c r="D713" s="193" t="s">
        <v>786</v>
      </c>
      <c r="E713" s="5"/>
    </row>
    <row r="714" spans="1:5" x14ac:dyDescent="0.25">
      <c r="A714" s="176"/>
      <c r="B714" s="181" t="s">
        <v>787</v>
      </c>
      <c r="C714" s="207" t="str">
        <f>C713</f>
        <v>und.</v>
      </c>
      <c r="D714" s="193">
        <v>1</v>
      </c>
      <c r="E714" s="5"/>
    </row>
    <row r="715" spans="1:5" ht="15.75" thickBot="1" x14ac:dyDescent="0.3">
      <c r="A715" s="516" t="s">
        <v>8</v>
      </c>
      <c r="B715" s="517"/>
      <c r="C715" s="518"/>
      <c r="D715" s="179">
        <f>D714</f>
        <v>1</v>
      </c>
      <c r="E715" s="5"/>
    </row>
    <row r="716" spans="1:5" ht="15.75" thickBot="1" x14ac:dyDescent="0.3">
      <c r="A716" s="169">
        <v>17</v>
      </c>
      <c r="B716" s="170" t="s">
        <v>36</v>
      </c>
      <c r="C716" s="171"/>
      <c r="D716" s="171"/>
      <c r="E716" s="5"/>
    </row>
    <row r="717" spans="1:5" ht="15.75" thickBot="1" x14ac:dyDescent="0.3">
      <c r="A717" s="172" t="s">
        <v>2</v>
      </c>
      <c r="B717" s="172" t="s">
        <v>316</v>
      </c>
      <c r="C717" s="172" t="s">
        <v>317</v>
      </c>
      <c r="D717" s="172" t="s">
        <v>318</v>
      </c>
      <c r="E717" s="5"/>
    </row>
    <row r="718" spans="1:5" x14ac:dyDescent="0.25">
      <c r="A718" s="184" t="str">
        <f>ORÇAMENTO!A376</f>
        <v>17.1</v>
      </c>
      <c r="B718" s="185" t="str">
        <f>ORÇAMENTO!D376</f>
        <v xml:space="preserve">CHAPISCO COMUM </v>
      </c>
      <c r="C718" s="208" t="s">
        <v>195</v>
      </c>
      <c r="D718" s="193" t="s">
        <v>383</v>
      </c>
      <c r="E718" s="5"/>
    </row>
    <row r="719" spans="1:5" x14ac:dyDescent="0.25">
      <c r="A719" s="176"/>
      <c r="B719" s="181" t="s">
        <v>987</v>
      </c>
      <c r="C719" s="207" t="s">
        <v>195</v>
      </c>
      <c r="D719" s="193">
        <f>D512</f>
        <v>2505.1125000000002</v>
      </c>
      <c r="E719" s="5"/>
    </row>
    <row r="720" spans="1:5" x14ac:dyDescent="0.25">
      <c r="A720" s="176"/>
      <c r="B720" s="181" t="s">
        <v>1287</v>
      </c>
      <c r="C720" s="207" t="s">
        <v>195</v>
      </c>
      <c r="D720" s="193">
        <f>D1032</f>
        <v>445.27500000000003</v>
      </c>
      <c r="E720" s="5"/>
    </row>
    <row r="721" spans="1:5" x14ac:dyDescent="0.25">
      <c r="A721" s="176"/>
      <c r="B721" s="181" t="s">
        <v>382</v>
      </c>
      <c r="C721" s="207" t="s">
        <v>375</v>
      </c>
      <c r="D721" s="193">
        <v>2</v>
      </c>
      <c r="E721" s="5"/>
    </row>
    <row r="722" spans="1:5" ht="15" customHeight="1" thickBot="1" x14ac:dyDescent="0.3">
      <c r="A722" s="516" t="s">
        <v>1286</v>
      </c>
      <c r="B722" s="517"/>
      <c r="C722" s="518"/>
      <c r="D722" s="179">
        <f>(D719+D720)*D721</f>
        <v>5900.7750000000005</v>
      </c>
      <c r="E722" s="5"/>
    </row>
    <row r="723" spans="1:5" x14ac:dyDescent="0.25">
      <c r="A723" s="184" t="str">
        <f>ORÇAMENTO!A377</f>
        <v>17.2</v>
      </c>
      <c r="B723" s="185" t="str">
        <f>ORÇAMENTO!D377</f>
        <v xml:space="preserve">EMBOÇO (1CI:4 ARML) </v>
      </c>
      <c r="C723" s="208" t="s">
        <v>195</v>
      </c>
      <c r="D723" s="193" t="s">
        <v>909</v>
      </c>
      <c r="E723" s="5"/>
    </row>
    <row r="724" spans="1:5" x14ac:dyDescent="0.25">
      <c r="A724" s="176"/>
      <c r="B724" s="181" t="s">
        <v>908</v>
      </c>
      <c r="C724" s="207" t="s">
        <v>195</v>
      </c>
      <c r="D724" s="193">
        <f>D804</f>
        <v>666.16499999999974</v>
      </c>
      <c r="E724" s="5"/>
    </row>
    <row r="725" spans="1:5" ht="15.75" thickBot="1" x14ac:dyDescent="0.3">
      <c r="A725" s="516" t="s">
        <v>8</v>
      </c>
      <c r="B725" s="517"/>
      <c r="C725" s="518"/>
      <c r="D725" s="179">
        <f>D724</f>
        <v>666.16499999999974</v>
      </c>
      <c r="E725" s="5"/>
    </row>
    <row r="726" spans="1:5" x14ac:dyDescent="0.25">
      <c r="A726" s="184" t="str">
        <f>ORÇAMENTO!A378</f>
        <v>17.3</v>
      </c>
      <c r="B726" s="185" t="str">
        <f>ORÇAMENTO!D378</f>
        <v>REBOCO (1 CALH:4 ARFC+100kgCI/M3)</v>
      </c>
      <c r="C726" s="208" t="s">
        <v>195</v>
      </c>
      <c r="D726" s="193" t="s">
        <v>384</v>
      </c>
      <c r="E726" s="5"/>
    </row>
    <row r="727" spans="1:5" x14ac:dyDescent="0.25">
      <c r="A727" s="184" t="s">
        <v>367</v>
      </c>
      <c r="B727" s="236" t="s">
        <v>910</v>
      </c>
      <c r="C727" s="207" t="s">
        <v>195</v>
      </c>
      <c r="D727" s="193">
        <f>D722</f>
        <v>5900.7750000000005</v>
      </c>
      <c r="E727" s="5"/>
    </row>
    <row r="728" spans="1:5" x14ac:dyDescent="0.25">
      <c r="A728" s="184" t="s">
        <v>368</v>
      </c>
      <c r="B728" s="236" t="s">
        <v>911</v>
      </c>
      <c r="C728" s="207" t="s">
        <v>195</v>
      </c>
      <c r="D728" s="193">
        <f>D804</f>
        <v>666.16499999999974</v>
      </c>
      <c r="E728" s="5"/>
    </row>
    <row r="729" spans="1:5" ht="15.75" thickBot="1" x14ac:dyDescent="0.3">
      <c r="A729" s="516" t="s">
        <v>385</v>
      </c>
      <c r="B729" s="517"/>
      <c r="C729" s="518"/>
      <c r="D729" s="179">
        <f>D727-D728</f>
        <v>5234.6100000000006</v>
      </c>
      <c r="E729" s="5"/>
    </row>
    <row r="730" spans="1:5" x14ac:dyDescent="0.25">
      <c r="A730" s="184" t="s">
        <v>233</v>
      </c>
      <c r="B730" s="185" t="str">
        <f>ORÇAMENTO!D379</f>
        <v xml:space="preserve">REVESTIMENTO COM CERÂMICA </v>
      </c>
      <c r="C730" s="208" t="s">
        <v>195</v>
      </c>
      <c r="D730" s="193" t="s">
        <v>386</v>
      </c>
      <c r="E730" s="5"/>
    </row>
    <row r="731" spans="1:5" x14ac:dyDescent="0.25">
      <c r="A731" s="184" t="s">
        <v>367</v>
      </c>
      <c r="B731" s="185"/>
      <c r="C731" s="208"/>
      <c r="D731" s="193"/>
      <c r="E731" s="5"/>
    </row>
    <row r="732" spans="1:5" x14ac:dyDescent="0.25">
      <c r="A732" s="245"/>
      <c r="B732" s="181" t="s">
        <v>837</v>
      </c>
      <c r="C732" s="207" t="s">
        <v>195</v>
      </c>
      <c r="D732" s="193">
        <f>(1.9+1.35)*2*3</f>
        <v>19.5</v>
      </c>
      <c r="E732" s="5"/>
    </row>
    <row r="733" spans="1:5" x14ac:dyDescent="0.25">
      <c r="A733" s="184"/>
      <c r="B733" s="181" t="s">
        <v>839</v>
      </c>
      <c r="C733" s="207" t="s">
        <v>195</v>
      </c>
      <c r="D733" s="193">
        <f>(1.3+1.55)*2*1.5</f>
        <v>8.5500000000000007</v>
      </c>
      <c r="E733" s="5"/>
    </row>
    <row r="734" spans="1:5" x14ac:dyDescent="0.25">
      <c r="A734" s="184"/>
      <c r="B734" s="181" t="s">
        <v>842</v>
      </c>
      <c r="C734" s="207" t="s">
        <v>195</v>
      </c>
      <c r="D734" s="193">
        <f>(1.3+3.75+2.75+3.15+1.45+0.6)*3</f>
        <v>38.999999999999993</v>
      </c>
      <c r="E734" s="5"/>
    </row>
    <row r="735" spans="1:5" x14ac:dyDescent="0.25">
      <c r="A735" s="184"/>
      <c r="B735" s="181" t="s">
        <v>843</v>
      </c>
      <c r="C735" s="207" t="s">
        <v>195</v>
      </c>
      <c r="D735" s="193">
        <f>(3.15+2.2)*2*3</f>
        <v>32.099999999999994</v>
      </c>
      <c r="E735" s="5"/>
    </row>
    <row r="736" spans="1:5" x14ac:dyDescent="0.25">
      <c r="A736" s="184"/>
      <c r="B736" s="181" t="s">
        <v>844</v>
      </c>
      <c r="C736" s="207" t="s">
        <v>195</v>
      </c>
      <c r="D736" s="193">
        <f>(3.15+2.2)*2*3</f>
        <v>32.099999999999994</v>
      </c>
      <c r="E736" s="5"/>
    </row>
    <row r="737" spans="1:5" x14ac:dyDescent="0.25">
      <c r="A737" s="184"/>
      <c r="B737" s="181" t="s">
        <v>845</v>
      </c>
      <c r="C737" s="207" t="s">
        <v>195</v>
      </c>
      <c r="D737" s="193">
        <f>1.65*3</f>
        <v>4.9499999999999993</v>
      </c>
      <c r="E737" s="5"/>
    </row>
    <row r="738" spans="1:5" x14ac:dyDescent="0.25">
      <c r="A738" s="184"/>
      <c r="B738" s="181" t="s">
        <v>846</v>
      </c>
      <c r="C738" s="207" t="s">
        <v>195</v>
      </c>
      <c r="D738" s="193">
        <f>(1.55+1.65)*2*1.5</f>
        <v>9.6000000000000014</v>
      </c>
      <c r="E738" s="5"/>
    </row>
    <row r="739" spans="1:5" x14ac:dyDescent="0.25">
      <c r="A739" s="184"/>
      <c r="B739" s="181" t="s">
        <v>848</v>
      </c>
      <c r="C739" s="207" t="s">
        <v>195</v>
      </c>
      <c r="D739" s="193">
        <f>(3.25+2.85)*2*3</f>
        <v>36.599999999999994</v>
      </c>
      <c r="E739" s="5"/>
    </row>
    <row r="740" spans="1:5" x14ac:dyDescent="0.25">
      <c r="A740" s="184"/>
      <c r="B740" s="181" t="s">
        <v>851</v>
      </c>
      <c r="C740" s="207" t="s">
        <v>195</v>
      </c>
      <c r="D740" s="193">
        <f>(3.05+2.85)*2*3</f>
        <v>35.400000000000006</v>
      </c>
      <c r="E740" s="5"/>
    </row>
    <row r="741" spans="1:5" x14ac:dyDescent="0.25">
      <c r="A741" s="184"/>
      <c r="B741" s="181" t="s">
        <v>852</v>
      </c>
      <c r="C741" s="207" t="s">
        <v>195</v>
      </c>
      <c r="D741" s="193">
        <f>(1.65+1.7)*2*3</f>
        <v>20.099999999999998</v>
      </c>
      <c r="E741" s="5"/>
    </row>
    <row r="742" spans="1:5" x14ac:dyDescent="0.25">
      <c r="A742" s="184"/>
      <c r="B742" s="181" t="s">
        <v>854</v>
      </c>
      <c r="C742" s="207" t="s">
        <v>195</v>
      </c>
      <c r="D742" s="193">
        <f>(4.3+2)*2*1.5</f>
        <v>18.899999999999999</v>
      </c>
      <c r="E742" s="5"/>
    </row>
    <row r="743" spans="1:5" x14ac:dyDescent="0.25">
      <c r="A743" s="184"/>
      <c r="B743" s="181" t="s">
        <v>856</v>
      </c>
      <c r="C743" s="207" t="s">
        <v>195</v>
      </c>
      <c r="D743" s="193">
        <f>(3.1*3)</f>
        <v>9.3000000000000007</v>
      </c>
      <c r="E743" s="5"/>
    </row>
    <row r="744" spans="1:5" x14ac:dyDescent="0.25">
      <c r="A744" s="184"/>
      <c r="B744" s="181" t="s">
        <v>858</v>
      </c>
      <c r="C744" s="207" t="s">
        <v>195</v>
      </c>
      <c r="D744" s="193">
        <f>(5.25*3)</f>
        <v>15.75</v>
      </c>
      <c r="E744" s="5"/>
    </row>
    <row r="745" spans="1:5" x14ac:dyDescent="0.25">
      <c r="A745" s="184"/>
      <c r="B745" s="181" t="s">
        <v>860</v>
      </c>
      <c r="C745" s="207" t="s">
        <v>195</v>
      </c>
      <c r="D745" s="193">
        <f>2.55*3</f>
        <v>7.6499999999999995</v>
      </c>
      <c r="E745" s="5"/>
    </row>
    <row r="746" spans="1:5" x14ac:dyDescent="0.25">
      <c r="A746" s="184"/>
      <c r="B746" s="181" t="s">
        <v>862</v>
      </c>
      <c r="C746" s="207" t="s">
        <v>195</v>
      </c>
      <c r="D746" s="193">
        <f>5.25*3</f>
        <v>15.75</v>
      </c>
      <c r="E746" s="5"/>
    </row>
    <row r="747" spans="1:5" x14ac:dyDescent="0.25">
      <c r="A747" s="184"/>
      <c r="B747" s="181" t="s">
        <v>864</v>
      </c>
      <c r="C747" s="207" t="s">
        <v>195</v>
      </c>
      <c r="D747" s="193">
        <f>2.55*3</f>
        <v>7.6499999999999995</v>
      </c>
      <c r="E747" s="5"/>
    </row>
    <row r="748" spans="1:5" x14ac:dyDescent="0.25">
      <c r="A748" s="184"/>
      <c r="B748" s="181" t="s">
        <v>866</v>
      </c>
      <c r="C748" s="207" t="s">
        <v>195</v>
      </c>
      <c r="D748" s="193">
        <f>2.45*3</f>
        <v>7.3500000000000005</v>
      </c>
      <c r="E748" s="5"/>
    </row>
    <row r="749" spans="1:5" x14ac:dyDescent="0.25">
      <c r="A749" s="184"/>
      <c r="B749" s="181" t="s">
        <v>868</v>
      </c>
      <c r="C749" s="207" t="s">
        <v>195</v>
      </c>
      <c r="D749" s="193">
        <f>(1.85+1.8)*2*3</f>
        <v>21.900000000000002</v>
      </c>
      <c r="E749" s="5"/>
    </row>
    <row r="750" spans="1:5" x14ac:dyDescent="0.25">
      <c r="A750" s="184"/>
      <c r="B750" s="181" t="s">
        <v>870</v>
      </c>
      <c r="C750" s="207" t="s">
        <v>195</v>
      </c>
      <c r="D750" s="193">
        <f>(1.6+2.85)*2*3</f>
        <v>26.700000000000003</v>
      </c>
      <c r="E750" s="5"/>
    </row>
    <row r="751" spans="1:5" x14ac:dyDescent="0.25">
      <c r="A751" s="184"/>
      <c r="B751" s="181" t="s">
        <v>872</v>
      </c>
      <c r="C751" s="207" t="s">
        <v>195</v>
      </c>
      <c r="D751" s="193">
        <f>(2.9*3)</f>
        <v>8.6999999999999993</v>
      </c>
      <c r="E751" s="5"/>
    </row>
    <row r="752" spans="1:5" x14ac:dyDescent="0.25">
      <c r="A752" s="184"/>
      <c r="B752" s="181" t="s">
        <v>874</v>
      </c>
      <c r="C752" s="207" t="s">
        <v>195</v>
      </c>
      <c r="D752" s="193">
        <f>3.3*3</f>
        <v>9.8999999999999986</v>
      </c>
      <c r="E752" s="5"/>
    </row>
    <row r="753" spans="1:5" x14ac:dyDescent="0.25">
      <c r="A753" s="184"/>
      <c r="B753" s="181" t="s">
        <v>875</v>
      </c>
      <c r="C753" s="207" t="s">
        <v>195</v>
      </c>
      <c r="D753" s="193">
        <f>(1.6+3.45)*2*3</f>
        <v>30.300000000000004</v>
      </c>
      <c r="E753" s="5"/>
    </row>
    <row r="754" spans="1:5" x14ac:dyDescent="0.25">
      <c r="A754" s="184"/>
      <c r="B754" s="181" t="s">
        <v>876</v>
      </c>
      <c r="C754" s="207" t="s">
        <v>195</v>
      </c>
      <c r="D754" s="193">
        <f>(1.6+3.45)*2*3</f>
        <v>30.300000000000004</v>
      </c>
      <c r="E754" s="5"/>
    </row>
    <row r="755" spans="1:5" x14ac:dyDescent="0.25">
      <c r="A755" s="184"/>
      <c r="B755" s="181" t="s">
        <v>877</v>
      </c>
      <c r="C755" s="207" t="s">
        <v>195</v>
      </c>
      <c r="D755" s="193">
        <f>(1.6+3.45)*2*3</f>
        <v>30.300000000000004</v>
      </c>
      <c r="E755" s="5"/>
    </row>
    <row r="756" spans="1:5" x14ac:dyDescent="0.25">
      <c r="A756" s="184"/>
      <c r="B756" s="181" t="s">
        <v>881</v>
      </c>
      <c r="C756" s="207" t="s">
        <v>195</v>
      </c>
      <c r="D756" s="193">
        <f>(1.15+1.75)*2*3</f>
        <v>17.399999999999999</v>
      </c>
      <c r="E756" s="5"/>
    </row>
    <row r="757" spans="1:5" x14ac:dyDescent="0.25">
      <c r="A757" s="184"/>
      <c r="B757" s="181" t="s">
        <v>883</v>
      </c>
      <c r="C757" s="207" t="s">
        <v>195</v>
      </c>
      <c r="D757" s="193">
        <f>2.55*3</f>
        <v>7.6499999999999995</v>
      </c>
      <c r="E757" s="5"/>
    </row>
    <row r="758" spans="1:5" x14ac:dyDescent="0.25">
      <c r="A758" s="184"/>
      <c r="B758" s="181" t="s">
        <v>890</v>
      </c>
      <c r="C758" s="207" t="s">
        <v>195</v>
      </c>
      <c r="D758" s="193">
        <f>2.4*3</f>
        <v>7.1999999999999993</v>
      </c>
      <c r="E758" s="5"/>
    </row>
    <row r="759" spans="1:5" x14ac:dyDescent="0.25">
      <c r="A759" s="184"/>
      <c r="B759" s="181" t="s">
        <v>891</v>
      </c>
      <c r="C759" s="207" t="s">
        <v>195</v>
      </c>
      <c r="D759" s="193">
        <f>2.55*3</f>
        <v>7.6499999999999995</v>
      </c>
      <c r="E759" s="5"/>
    </row>
    <row r="760" spans="1:5" x14ac:dyDescent="0.25">
      <c r="A760" s="184"/>
      <c r="B760" s="181" t="s">
        <v>892</v>
      </c>
      <c r="C760" s="207" t="s">
        <v>195</v>
      </c>
      <c r="D760" s="193">
        <f>(1.3+2.15)*2*3</f>
        <v>20.700000000000003</v>
      </c>
      <c r="E760" s="5"/>
    </row>
    <row r="761" spans="1:5" x14ac:dyDescent="0.25">
      <c r="A761" s="184"/>
      <c r="B761" s="181" t="s">
        <v>893</v>
      </c>
      <c r="C761" s="207" t="s">
        <v>195</v>
      </c>
      <c r="D761" s="193">
        <f>(1.3+2.15)*2*3</f>
        <v>20.700000000000003</v>
      </c>
      <c r="E761" s="5"/>
    </row>
    <row r="762" spans="1:5" x14ac:dyDescent="0.25">
      <c r="A762" s="184"/>
      <c r="B762" s="181" t="s">
        <v>894</v>
      </c>
      <c r="C762" s="207" t="s">
        <v>195</v>
      </c>
      <c r="D762" s="193">
        <f>(3.05+3.6)*2*3</f>
        <v>39.900000000000006</v>
      </c>
      <c r="E762" s="5"/>
    </row>
    <row r="763" spans="1:5" x14ac:dyDescent="0.25">
      <c r="A763" s="184"/>
      <c r="B763" s="181" t="s">
        <v>895</v>
      </c>
      <c r="C763" s="207" t="s">
        <v>195</v>
      </c>
      <c r="D763" s="193">
        <f>(1.7+1.6)*2*1.5</f>
        <v>9.8999999999999986</v>
      </c>
      <c r="E763" s="5"/>
    </row>
    <row r="764" spans="1:5" x14ac:dyDescent="0.25">
      <c r="A764" s="184"/>
      <c r="B764" s="181" t="s">
        <v>897</v>
      </c>
      <c r="C764" s="207" t="s">
        <v>195</v>
      </c>
      <c r="D764" s="193">
        <f>(1.7+1.85)*2*3</f>
        <v>21.299999999999997</v>
      </c>
      <c r="E764" s="5"/>
    </row>
    <row r="765" spans="1:5" x14ac:dyDescent="0.25">
      <c r="A765" s="184"/>
      <c r="B765" s="181" t="s">
        <v>899</v>
      </c>
      <c r="C765" s="207" t="s">
        <v>195</v>
      </c>
      <c r="D765" s="193">
        <f>(3.6+2.55)*2*3</f>
        <v>36.900000000000006</v>
      </c>
      <c r="E765" s="5"/>
    </row>
    <row r="766" spans="1:5" x14ac:dyDescent="0.25">
      <c r="A766" s="184"/>
      <c r="B766" s="181" t="s">
        <v>900</v>
      </c>
      <c r="C766" s="207" t="s">
        <v>195</v>
      </c>
      <c r="D766" s="193">
        <f>(3.6+2.55)*2*3</f>
        <v>36.900000000000006</v>
      </c>
      <c r="E766" s="5"/>
    </row>
    <row r="767" spans="1:5" x14ac:dyDescent="0.25">
      <c r="A767" s="184"/>
      <c r="B767" s="181" t="s">
        <v>903</v>
      </c>
      <c r="C767" s="207" t="s">
        <v>195</v>
      </c>
      <c r="D767" s="193">
        <f>5.25*3</f>
        <v>15.75</v>
      </c>
      <c r="E767" s="5"/>
    </row>
    <row r="768" spans="1:5" x14ac:dyDescent="0.25">
      <c r="A768" s="184"/>
      <c r="B768" s="181" t="s">
        <v>906</v>
      </c>
      <c r="C768" s="207" t="s">
        <v>195</v>
      </c>
      <c r="D768" s="193">
        <f>(1.3+3)*2*3</f>
        <v>25.799999999999997</v>
      </c>
      <c r="E768" s="5"/>
    </row>
    <row r="769" spans="1:5" x14ac:dyDescent="0.25">
      <c r="A769" s="184" t="s">
        <v>368</v>
      </c>
      <c r="B769" s="181" t="s">
        <v>1270</v>
      </c>
      <c r="C769" s="207" t="s">
        <v>195</v>
      </c>
      <c r="D769" s="193"/>
      <c r="E769" s="5"/>
    </row>
    <row r="770" spans="1:5" x14ac:dyDescent="0.25">
      <c r="A770" s="245"/>
      <c r="B770" s="181" t="s">
        <v>838</v>
      </c>
      <c r="C770" s="207" t="s">
        <v>195</v>
      </c>
      <c r="D770" s="193">
        <f>(0.8*0.6)+(0.8*2.1)</f>
        <v>2.16</v>
      </c>
      <c r="E770" s="5"/>
    </row>
    <row r="771" spans="1:5" x14ac:dyDescent="0.25">
      <c r="A771" s="184"/>
      <c r="B771" s="181" t="s">
        <v>840</v>
      </c>
      <c r="C771" s="207" t="s">
        <v>195</v>
      </c>
      <c r="D771" s="193">
        <f>(0.8*0.6)+(0.8*2.1)</f>
        <v>2.16</v>
      </c>
      <c r="E771" s="5"/>
    </row>
    <row r="772" spans="1:5" x14ac:dyDescent="0.25">
      <c r="A772" s="184"/>
      <c r="B772" s="181" t="s">
        <v>1114</v>
      </c>
      <c r="C772" s="207" t="s">
        <v>195</v>
      </c>
      <c r="D772" s="193">
        <f>(1.25*2.1)+(2*2.1)</f>
        <v>6.8250000000000002</v>
      </c>
      <c r="E772" s="5"/>
    </row>
    <row r="773" spans="1:5" x14ac:dyDescent="0.25">
      <c r="A773" s="184"/>
      <c r="B773" s="181" t="s">
        <v>841</v>
      </c>
      <c r="C773" s="207" t="s">
        <v>195</v>
      </c>
      <c r="D773" s="193">
        <f>(1.2*0.6)+(0.8*2.1)</f>
        <v>2.4000000000000004</v>
      </c>
      <c r="E773" s="5"/>
    </row>
    <row r="774" spans="1:5" x14ac:dyDescent="0.25">
      <c r="A774" s="176"/>
      <c r="B774" s="181" t="s">
        <v>847</v>
      </c>
      <c r="C774" s="207" t="s">
        <v>195</v>
      </c>
      <c r="D774" s="193">
        <f>0.9*2.1</f>
        <v>1.8900000000000001</v>
      </c>
      <c r="E774" s="5"/>
    </row>
    <row r="775" spans="1:5" x14ac:dyDescent="0.25">
      <c r="A775" s="176"/>
      <c r="B775" s="181" t="s">
        <v>849</v>
      </c>
      <c r="C775" s="207" t="s">
        <v>195</v>
      </c>
      <c r="D775" s="193">
        <f>(0.8*0.6)*2+(0.9*2.1)</f>
        <v>2.85</v>
      </c>
      <c r="E775" s="5"/>
    </row>
    <row r="776" spans="1:5" x14ac:dyDescent="0.25">
      <c r="A776" s="176"/>
      <c r="B776" s="181" t="s">
        <v>850</v>
      </c>
      <c r="C776" s="207" t="s">
        <v>195</v>
      </c>
      <c r="D776" s="193">
        <f>(0.8*0.6)*2+(0.9*2.1)</f>
        <v>2.85</v>
      </c>
      <c r="E776" s="5"/>
    </row>
    <row r="777" spans="1:5" x14ac:dyDescent="0.25">
      <c r="A777" s="176"/>
      <c r="B777" s="181" t="s">
        <v>853</v>
      </c>
      <c r="C777" s="207" t="s">
        <v>195</v>
      </c>
      <c r="D777" s="193">
        <f>(0.8*0.6)+(1*2.1)</f>
        <v>2.58</v>
      </c>
      <c r="E777" s="5"/>
    </row>
    <row r="778" spans="1:5" x14ac:dyDescent="0.25">
      <c r="A778" s="176"/>
      <c r="B778" s="181" t="s">
        <v>855</v>
      </c>
      <c r="C778" s="207" t="s">
        <v>195</v>
      </c>
      <c r="D778" s="193">
        <f>(0.8*0.6)+(0.8*2.1)</f>
        <v>2.16</v>
      </c>
      <c r="E778" s="5"/>
    </row>
    <row r="779" spans="1:5" x14ac:dyDescent="0.25">
      <c r="A779" s="176"/>
      <c r="B779" s="181" t="s">
        <v>857</v>
      </c>
      <c r="C779" s="207" t="s">
        <v>195</v>
      </c>
      <c r="D779" s="193">
        <f>1.5*1</f>
        <v>1.5</v>
      </c>
      <c r="E779" s="5"/>
    </row>
    <row r="780" spans="1:5" x14ac:dyDescent="0.25">
      <c r="A780" s="184"/>
      <c r="B780" s="181" t="s">
        <v>859</v>
      </c>
      <c r="C780" s="207" t="s">
        <v>195</v>
      </c>
      <c r="D780" s="193">
        <f>1*2.1</f>
        <v>2.1</v>
      </c>
      <c r="E780" s="5"/>
    </row>
    <row r="781" spans="1:5" x14ac:dyDescent="0.25">
      <c r="A781" s="184"/>
      <c r="B781" s="181" t="s">
        <v>861</v>
      </c>
      <c r="C781" s="207" t="s">
        <v>195</v>
      </c>
      <c r="D781" s="193">
        <f>2*0.6</f>
        <v>1.2</v>
      </c>
      <c r="E781" s="5"/>
    </row>
    <row r="782" spans="1:5" x14ac:dyDescent="0.25">
      <c r="A782" s="184"/>
      <c r="B782" s="181" t="s">
        <v>863</v>
      </c>
      <c r="C782" s="207" t="s">
        <v>195</v>
      </c>
      <c r="D782" s="193">
        <f>1*2.1</f>
        <v>2.1</v>
      </c>
      <c r="E782" s="5"/>
    </row>
    <row r="783" spans="1:5" x14ac:dyDescent="0.25">
      <c r="A783" s="184"/>
      <c r="B783" s="181" t="s">
        <v>865</v>
      </c>
      <c r="C783" s="207" t="s">
        <v>195</v>
      </c>
      <c r="D783" s="193">
        <f>2*0.6</f>
        <v>1.2</v>
      </c>
      <c r="E783" s="5"/>
    </row>
    <row r="784" spans="1:5" x14ac:dyDescent="0.25">
      <c r="A784" s="176"/>
      <c r="B784" s="181" t="s">
        <v>867</v>
      </c>
      <c r="C784" s="207" t="s">
        <v>195</v>
      </c>
      <c r="D784" s="193">
        <f>2*0.6</f>
        <v>1.2</v>
      </c>
      <c r="E784" s="5"/>
    </row>
    <row r="785" spans="1:5" x14ac:dyDescent="0.25">
      <c r="A785" s="176"/>
      <c r="B785" s="181" t="s">
        <v>869</v>
      </c>
      <c r="C785" s="207" t="s">
        <v>195</v>
      </c>
      <c r="D785" s="193">
        <f>(0.8*0.6)+(0.9*2.1)</f>
        <v>2.37</v>
      </c>
      <c r="E785" s="5"/>
    </row>
    <row r="786" spans="1:5" x14ac:dyDescent="0.25">
      <c r="A786" s="176"/>
      <c r="B786" s="181" t="s">
        <v>871</v>
      </c>
      <c r="C786" s="207" t="s">
        <v>195</v>
      </c>
      <c r="D786" s="193">
        <f>(0.8*0.6)+(1*2.1)</f>
        <v>2.58</v>
      </c>
      <c r="E786" s="5"/>
    </row>
    <row r="787" spans="1:5" x14ac:dyDescent="0.25">
      <c r="A787" s="176"/>
      <c r="B787" s="181" t="s">
        <v>873</v>
      </c>
      <c r="C787" s="207" t="s">
        <v>195</v>
      </c>
      <c r="D787" s="193">
        <f>2*0.6</f>
        <v>1.2</v>
      </c>
      <c r="E787" s="5"/>
    </row>
    <row r="788" spans="1:5" x14ac:dyDescent="0.25">
      <c r="A788" s="176"/>
      <c r="B788" s="181" t="s">
        <v>878</v>
      </c>
      <c r="C788" s="207" t="s">
        <v>195</v>
      </c>
      <c r="D788" s="193">
        <f>(0.8*0.6)+(1*2.1)</f>
        <v>2.58</v>
      </c>
      <c r="E788" s="5"/>
    </row>
    <row r="789" spans="1:5" x14ac:dyDescent="0.25">
      <c r="A789" s="176"/>
      <c r="B789" s="181" t="s">
        <v>879</v>
      </c>
      <c r="C789" s="207" t="s">
        <v>195</v>
      </c>
      <c r="D789" s="193">
        <f>(0.8*0.6)+(1*2.1)</f>
        <v>2.58</v>
      </c>
      <c r="E789" s="5"/>
    </row>
    <row r="790" spans="1:5" x14ac:dyDescent="0.25">
      <c r="A790" s="176"/>
      <c r="B790" s="181" t="s">
        <v>880</v>
      </c>
      <c r="C790" s="207" t="s">
        <v>195</v>
      </c>
      <c r="D790" s="193">
        <f>(0.8*0.6)+(1*2.1)</f>
        <v>2.58</v>
      </c>
      <c r="E790" s="5"/>
    </row>
    <row r="791" spans="1:5" x14ac:dyDescent="0.25">
      <c r="A791" s="176"/>
      <c r="B791" s="181" t="s">
        <v>882</v>
      </c>
      <c r="C791" s="207" t="s">
        <v>195</v>
      </c>
      <c r="D791" s="193">
        <f>(0.8*2.1)</f>
        <v>1.6800000000000002</v>
      </c>
      <c r="E791" s="5"/>
    </row>
    <row r="792" spans="1:5" x14ac:dyDescent="0.25">
      <c r="A792" s="176"/>
      <c r="B792" s="181" t="s">
        <v>884</v>
      </c>
      <c r="C792" s="207" t="s">
        <v>195</v>
      </c>
      <c r="D792" s="193">
        <f>2*0.6</f>
        <v>1.2</v>
      </c>
      <c r="E792" s="5"/>
    </row>
    <row r="793" spans="1:5" x14ac:dyDescent="0.25">
      <c r="A793" s="176"/>
      <c r="B793" s="181" t="s">
        <v>885</v>
      </c>
      <c r="C793" s="207" t="s">
        <v>195</v>
      </c>
      <c r="D793" s="193">
        <f>2*0.6</f>
        <v>1.2</v>
      </c>
      <c r="E793" s="5"/>
    </row>
    <row r="794" spans="1:5" x14ac:dyDescent="0.25">
      <c r="A794" s="176"/>
      <c r="B794" s="181" t="s">
        <v>886</v>
      </c>
      <c r="C794" s="207" t="s">
        <v>195</v>
      </c>
      <c r="D794" s="193">
        <f>2*0.6</f>
        <v>1.2</v>
      </c>
      <c r="E794" s="5"/>
    </row>
    <row r="795" spans="1:5" x14ac:dyDescent="0.25">
      <c r="A795" s="176"/>
      <c r="B795" s="181" t="s">
        <v>887</v>
      </c>
      <c r="C795" s="207" t="s">
        <v>195</v>
      </c>
      <c r="D795" s="193">
        <f>0.8*2.1</f>
        <v>1.6800000000000002</v>
      </c>
      <c r="E795" s="5"/>
    </row>
    <row r="796" spans="1:5" x14ac:dyDescent="0.25">
      <c r="A796" s="176"/>
      <c r="B796" s="181" t="s">
        <v>888</v>
      </c>
      <c r="C796" s="207" t="s">
        <v>195</v>
      </c>
      <c r="D796" s="193">
        <f>0.8*2.1</f>
        <v>1.6800000000000002</v>
      </c>
      <c r="E796" s="5"/>
    </row>
    <row r="797" spans="1:5" x14ac:dyDescent="0.25">
      <c r="A797" s="176"/>
      <c r="B797" s="181" t="s">
        <v>889</v>
      </c>
      <c r="C797" s="207" t="s">
        <v>195</v>
      </c>
      <c r="D797" s="193">
        <f>(1*2.1)*2+(2*0.6)+(0.9*2.1)</f>
        <v>7.2900000000000009</v>
      </c>
      <c r="E797" s="5"/>
    </row>
    <row r="798" spans="1:5" x14ac:dyDescent="0.25">
      <c r="A798" s="176"/>
      <c r="B798" s="181" t="s">
        <v>896</v>
      </c>
      <c r="C798" s="207" t="s">
        <v>195</v>
      </c>
      <c r="D798" s="193">
        <f>0.8*2.1</f>
        <v>1.6800000000000002</v>
      </c>
      <c r="E798" s="5"/>
    </row>
    <row r="799" spans="1:5" x14ac:dyDescent="0.25">
      <c r="A799" s="176"/>
      <c r="B799" s="181" t="s">
        <v>898</v>
      </c>
      <c r="C799" s="207" t="s">
        <v>195</v>
      </c>
      <c r="D799" s="193">
        <f>(1*2.1)+(1*2.1)</f>
        <v>4.2</v>
      </c>
      <c r="E799" s="5"/>
    </row>
    <row r="800" spans="1:5" x14ac:dyDescent="0.25">
      <c r="A800" s="176"/>
      <c r="B800" s="181" t="s">
        <v>901</v>
      </c>
      <c r="C800" s="207" t="s">
        <v>195</v>
      </c>
      <c r="D800" s="193">
        <f>(1.2*0.6)+(0.8*2.1)</f>
        <v>2.4000000000000004</v>
      </c>
      <c r="E800" s="5"/>
    </row>
    <row r="801" spans="1:5" x14ac:dyDescent="0.25">
      <c r="A801" s="176"/>
      <c r="B801" s="181" t="s">
        <v>902</v>
      </c>
      <c r="C801" s="207" t="s">
        <v>195</v>
      </c>
      <c r="D801" s="193">
        <f>(1.2*0.6)+(0.8*2.1)</f>
        <v>2.4000000000000004</v>
      </c>
      <c r="E801" s="5"/>
    </row>
    <row r="802" spans="1:5" x14ac:dyDescent="0.25">
      <c r="A802" s="176"/>
      <c r="B802" s="181" t="s">
        <v>904</v>
      </c>
      <c r="C802" s="207" t="s">
        <v>195</v>
      </c>
      <c r="D802" s="193">
        <f>1*2.1</f>
        <v>2.1</v>
      </c>
      <c r="E802" s="5"/>
    </row>
    <row r="803" spans="1:5" x14ac:dyDescent="0.25">
      <c r="A803" s="176"/>
      <c r="B803" s="181" t="s">
        <v>905</v>
      </c>
      <c r="C803" s="207" t="s">
        <v>195</v>
      </c>
      <c r="D803" s="193">
        <f>(0.8*0.6)+(0.8*2.1)</f>
        <v>2.16</v>
      </c>
      <c r="E803" s="5"/>
    </row>
    <row r="804" spans="1:5" ht="15.75" thickBot="1" x14ac:dyDescent="0.3">
      <c r="A804" s="516" t="s">
        <v>1269</v>
      </c>
      <c r="B804" s="517"/>
      <c r="C804" s="518"/>
      <c r="D804" s="179">
        <f>SUM(D732:D768)-SUM(D770:D803)</f>
        <v>666.16499999999974</v>
      </c>
      <c r="E804" s="5"/>
    </row>
    <row r="805" spans="1:5" s="94" customFormat="1" x14ac:dyDescent="0.25">
      <c r="A805" s="184" t="str">
        <f>ORÇAMENTO!A380</f>
        <v>17.5</v>
      </c>
      <c r="B805" s="185" t="s">
        <v>1405</v>
      </c>
      <c r="C805" s="208" t="s">
        <v>195</v>
      </c>
      <c r="D805" s="193" t="s">
        <v>383</v>
      </c>
    </row>
    <row r="806" spans="1:5" s="94" customFormat="1" x14ac:dyDescent="0.25">
      <c r="A806" s="176"/>
      <c r="B806" s="181" t="s">
        <v>1406</v>
      </c>
      <c r="C806" s="207" t="s">
        <v>195</v>
      </c>
      <c r="D806" s="193">
        <f>(5.25+0.4+4.05+3.65+1.1+1)*3.5</f>
        <v>54.074999999999996</v>
      </c>
    </row>
    <row r="807" spans="1:5" s="94" customFormat="1" x14ac:dyDescent="0.25">
      <c r="A807" s="176"/>
      <c r="B807" s="181" t="s">
        <v>1407</v>
      </c>
      <c r="C807" s="207" t="s">
        <v>195</v>
      </c>
      <c r="D807" s="193">
        <v>21.26</v>
      </c>
    </row>
    <row r="808" spans="1:5" s="94" customFormat="1" ht="15.75" thickBot="1" x14ac:dyDescent="0.3">
      <c r="A808" s="531" t="s">
        <v>43</v>
      </c>
      <c r="B808" s="517"/>
      <c r="C808" s="518"/>
      <c r="D808" s="179">
        <f>D807+D806</f>
        <v>75.334999999999994</v>
      </c>
    </row>
    <row r="809" spans="1:5" ht="15.75" thickBot="1" x14ac:dyDescent="0.3">
      <c r="A809" s="169">
        <v>18</v>
      </c>
      <c r="B809" s="170" t="s">
        <v>37</v>
      </c>
      <c r="C809" s="171"/>
      <c r="D809" s="171"/>
      <c r="E809" s="5"/>
    </row>
    <row r="810" spans="1:5" ht="15.75" thickBot="1" x14ac:dyDescent="0.3">
      <c r="A810" s="172" t="s">
        <v>2</v>
      </c>
      <c r="B810" s="172" t="s">
        <v>316</v>
      </c>
      <c r="C810" s="172" t="s">
        <v>317</v>
      </c>
      <c r="D810" s="172" t="s">
        <v>318</v>
      </c>
      <c r="E810" s="5"/>
    </row>
    <row r="811" spans="1:5" x14ac:dyDescent="0.25">
      <c r="A811" s="184" t="str">
        <f>ORÇAMENTO!A384</f>
        <v>18.1</v>
      </c>
      <c r="B811" s="185" t="s">
        <v>675</v>
      </c>
      <c r="C811" s="208" t="s">
        <v>195</v>
      </c>
      <c r="D811" s="193" t="s">
        <v>912</v>
      </c>
      <c r="E811" s="5"/>
    </row>
    <row r="812" spans="1:5" x14ac:dyDescent="0.25">
      <c r="A812" s="176"/>
      <c r="B812" s="181" t="s">
        <v>803</v>
      </c>
      <c r="C812" s="207" t="s">
        <v>195</v>
      </c>
      <c r="D812" s="193">
        <v>2.57</v>
      </c>
      <c r="E812" s="5"/>
    </row>
    <row r="813" spans="1:5" x14ac:dyDescent="0.25">
      <c r="A813" s="176"/>
      <c r="B813" s="181" t="s">
        <v>913</v>
      </c>
      <c r="C813" s="207" t="s">
        <v>195</v>
      </c>
      <c r="D813" s="193">
        <v>5.04</v>
      </c>
      <c r="E813" s="5"/>
    </row>
    <row r="814" spans="1:5" x14ac:dyDescent="0.25">
      <c r="A814" s="176"/>
      <c r="B814" s="181" t="s">
        <v>914</v>
      </c>
      <c r="C814" s="207" t="s">
        <v>195</v>
      </c>
      <c r="D814" s="193">
        <v>2.02</v>
      </c>
      <c r="E814" s="5"/>
    </row>
    <row r="815" spans="1:5" x14ac:dyDescent="0.25">
      <c r="A815" s="176"/>
      <c r="B815" s="181" t="s">
        <v>915</v>
      </c>
      <c r="C815" s="207" t="s">
        <v>195</v>
      </c>
      <c r="D815" s="193">
        <v>9.44</v>
      </c>
      <c r="E815" s="5"/>
    </row>
    <row r="816" spans="1:5" x14ac:dyDescent="0.25">
      <c r="A816" s="176"/>
      <c r="B816" s="181" t="s">
        <v>916</v>
      </c>
      <c r="C816" s="207" t="s">
        <v>195</v>
      </c>
      <c r="D816" s="193">
        <v>6.93</v>
      </c>
      <c r="E816" s="5"/>
    </row>
    <row r="817" spans="1:5" x14ac:dyDescent="0.25">
      <c r="A817" s="176"/>
      <c r="B817" s="181" t="s">
        <v>917</v>
      </c>
      <c r="C817" s="207" t="s">
        <v>195</v>
      </c>
      <c r="D817" s="193">
        <v>7.85</v>
      </c>
      <c r="E817" s="5"/>
    </row>
    <row r="818" spans="1:5" x14ac:dyDescent="0.25">
      <c r="A818" s="176"/>
      <c r="B818" s="181" t="s">
        <v>806</v>
      </c>
      <c r="C818" s="207" t="s">
        <v>195</v>
      </c>
      <c r="D818" s="193">
        <v>33.79</v>
      </c>
      <c r="E818" s="5"/>
    </row>
    <row r="819" spans="1:5" x14ac:dyDescent="0.25">
      <c r="A819" s="176"/>
      <c r="B819" s="181" t="s">
        <v>918</v>
      </c>
      <c r="C819" s="207" t="s">
        <v>195</v>
      </c>
      <c r="D819" s="193">
        <v>2.56</v>
      </c>
      <c r="E819" s="5"/>
    </row>
    <row r="820" spans="1:5" x14ac:dyDescent="0.25">
      <c r="A820" s="176"/>
      <c r="B820" s="181" t="s">
        <v>919</v>
      </c>
      <c r="C820" s="207" t="s">
        <v>195</v>
      </c>
      <c r="D820" s="193">
        <v>9.26</v>
      </c>
      <c r="E820" s="5"/>
    </row>
    <row r="821" spans="1:5" x14ac:dyDescent="0.25">
      <c r="A821" s="176"/>
      <c r="B821" s="181" t="s">
        <v>920</v>
      </c>
      <c r="C821" s="207" t="s">
        <v>195</v>
      </c>
      <c r="D821" s="193">
        <v>8.69</v>
      </c>
      <c r="E821" s="5"/>
    </row>
    <row r="822" spans="1:5" x14ac:dyDescent="0.25">
      <c r="A822" s="176"/>
      <c r="B822" s="181" t="s">
        <v>921</v>
      </c>
      <c r="C822" s="207" t="s">
        <v>195</v>
      </c>
      <c r="D822" s="193">
        <v>2.81</v>
      </c>
      <c r="E822" s="5"/>
    </row>
    <row r="823" spans="1:5" x14ac:dyDescent="0.25">
      <c r="A823" s="176"/>
      <c r="B823" s="181" t="s">
        <v>922</v>
      </c>
      <c r="C823" s="207" t="s">
        <v>195</v>
      </c>
      <c r="D823" s="193">
        <v>4.79</v>
      </c>
      <c r="E823" s="5"/>
    </row>
    <row r="824" spans="1:5" x14ac:dyDescent="0.25">
      <c r="A824" s="176"/>
      <c r="B824" s="181" t="s">
        <v>923</v>
      </c>
      <c r="C824" s="207" t="s">
        <v>195</v>
      </c>
      <c r="D824" s="193">
        <v>12.9</v>
      </c>
      <c r="E824" s="5"/>
    </row>
    <row r="825" spans="1:5" x14ac:dyDescent="0.25">
      <c r="A825" s="176"/>
      <c r="B825" s="181" t="s">
        <v>924</v>
      </c>
      <c r="C825" s="207" t="s">
        <v>195</v>
      </c>
      <c r="D825" s="193">
        <v>32.28</v>
      </c>
      <c r="E825" s="5"/>
    </row>
    <row r="826" spans="1:5" x14ac:dyDescent="0.25">
      <c r="A826" s="176"/>
      <c r="B826" s="181" t="s">
        <v>925</v>
      </c>
      <c r="C826" s="207" t="s">
        <v>195</v>
      </c>
      <c r="D826" s="193">
        <v>8</v>
      </c>
      <c r="E826" s="5"/>
    </row>
    <row r="827" spans="1:5" x14ac:dyDescent="0.25">
      <c r="A827" s="176"/>
      <c r="B827" s="181" t="s">
        <v>926</v>
      </c>
      <c r="C827" s="207" t="s">
        <v>195</v>
      </c>
      <c r="D827" s="193">
        <v>32.4</v>
      </c>
      <c r="E827" s="5"/>
    </row>
    <row r="828" spans="1:5" x14ac:dyDescent="0.25">
      <c r="A828" s="176"/>
      <c r="B828" s="181" t="s">
        <v>612</v>
      </c>
      <c r="C828" s="207" t="s">
        <v>195</v>
      </c>
      <c r="D828" s="193">
        <v>6.96</v>
      </c>
      <c r="E828" s="5"/>
    </row>
    <row r="829" spans="1:5" x14ac:dyDescent="0.25">
      <c r="A829" s="176"/>
      <c r="B829" s="181" t="s">
        <v>631</v>
      </c>
      <c r="C829" s="207" t="s">
        <v>195</v>
      </c>
      <c r="D829" s="193">
        <v>10.97</v>
      </c>
      <c r="E829" s="5"/>
    </row>
    <row r="830" spans="1:5" x14ac:dyDescent="0.25">
      <c r="A830" s="176"/>
      <c r="B830" s="181" t="s">
        <v>632</v>
      </c>
      <c r="C830" s="207" t="s">
        <v>195</v>
      </c>
      <c r="D830" s="193">
        <v>10.97</v>
      </c>
      <c r="E830" s="5"/>
    </row>
    <row r="831" spans="1:5" x14ac:dyDescent="0.25">
      <c r="A831" s="176"/>
      <c r="B831" s="181" t="s">
        <v>927</v>
      </c>
      <c r="C831" s="207" t="s">
        <v>195</v>
      </c>
      <c r="D831" s="193">
        <v>10.97</v>
      </c>
      <c r="E831" s="5"/>
    </row>
    <row r="832" spans="1:5" x14ac:dyDescent="0.25">
      <c r="A832" s="176"/>
      <c r="B832" s="181" t="s">
        <v>928</v>
      </c>
      <c r="C832" s="207" t="s">
        <v>195</v>
      </c>
      <c r="D832" s="193">
        <v>10.97</v>
      </c>
      <c r="E832" s="5"/>
    </row>
    <row r="833" spans="1:5" x14ac:dyDescent="0.25">
      <c r="A833" s="176"/>
      <c r="B833" s="181" t="s">
        <v>929</v>
      </c>
      <c r="C833" s="207" t="s">
        <v>195</v>
      </c>
      <c r="D833" s="193">
        <v>8.6</v>
      </c>
      <c r="E833" s="5"/>
    </row>
    <row r="834" spans="1:5" x14ac:dyDescent="0.25">
      <c r="A834" s="176"/>
      <c r="B834" s="181" t="s">
        <v>930</v>
      </c>
      <c r="C834" s="207" t="s">
        <v>195</v>
      </c>
      <c r="D834" s="193">
        <v>13.33</v>
      </c>
      <c r="E834" s="5"/>
    </row>
    <row r="835" spans="1:5" x14ac:dyDescent="0.25">
      <c r="A835" s="176"/>
      <c r="B835" s="181" t="s">
        <v>931</v>
      </c>
      <c r="C835" s="207" t="s">
        <v>195</v>
      </c>
      <c r="D835" s="193">
        <v>44.66</v>
      </c>
      <c r="E835" s="5"/>
    </row>
    <row r="836" spans="1:5" x14ac:dyDescent="0.25">
      <c r="A836" s="176"/>
      <c r="B836" s="181" t="s">
        <v>932</v>
      </c>
      <c r="C836" s="207" t="s">
        <v>195</v>
      </c>
      <c r="D836" s="193">
        <v>21.26</v>
      </c>
      <c r="E836" s="5"/>
    </row>
    <row r="837" spans="1:5" x14ac:dyDescent="0.25">
      <c r="A837" s="176"/>
      <c r="B837" s="181" t="s">
        <v>933</v>
      </c>
      <c r="C837" s="207" t="s">
        <v>195</v>
      </c>
      <c r="D837" s="193">
        <v>10.33</v>
      </c>
      <c r="E837" s="5"/>
    </row>
    <row r="838" spans="1:5" x14ac:dyDescent="0.25">
      <c r="A838" s="176"/>
      <c r="B838" s="181" t="s">
        <v>638</v>
      </c>
      <c r="C838" s="207" t="s">
        <v>195</v>
      </c>
      <c r="D838" s="193">
        <v>21.26</v>
      </c>
      <c r="E838" s="5"/>
    </row>
    <row r="839" spans="1:5" x14ac:dyDescent="0.25">
      <c r="A839" s="176"/>
      <c r="B839" s="181" t="s">
        <v>934</v>
      </c>
      <c r="C839" s="207" t="s">
        <v>195</v>
      </c>
      <c r="D839" s="193">
        <v>10.33</v>
      </c>
      <c r="E839" s="5"/>
    </row>
    <row r="840" spans="1:5" x14ac:dyDescent="0.25">
      <c r="A840" s="176"/>
      <c r="B840" s="181" t="s">
        <v>935</v>
      </c>
      <c r="C840" s="207" t="s">
        <v>195</v>
      </c>
      <c r="D840" s="193">
        <v>9.92</v>
      </c>
      <c r="E840" s="5"/>
    </row>
    <row r="841" spans="1:5" x14ac:dyDescent="0.25">
      <c r="A841" s="176"/>
      <c r="B841" s="181" t="s">
        <v>614</v>
      </c>
      <c r="C841" s="207" t="s">
        <v>195</v>
      </c>
      <c r="D841" s="193">
        <v>2.0699999999999998</v>
      </c>
      <c r="E841" s="5"/>
    </row>
    <row r="842" spans="1:5" x14ac:dyDescent="0.25">
      <c r="A842" s="176"/>
      <c r="B842" s="181" t="s">
        <v>936</v>
      </c>
      <c r="C842" s="207" t="s">
        <v>195</v>
      </c>
      <c r="D842" s="193">
        <v>5.57</v>
      </c>
      <c r="E842" s="5"/>
    </row>
    <row r="843" spans="1:5" x14ac:dyDescent="0.25">
      <c r="A843" s="176"/>
      <c r="B843" s="181" t="s">
        <v>809</v>
      </c>
      <c r="C843" s="207" t="s">
        <v>195</v>
      </c>
      <c r="D843" s="193">
        <v>2.4300000000000002</v>
      </c>
      <c r="E843" s="5"/>
    </row>
    <row r="844" spans="1:5" x14ac:dyDescent="0.25">
      <c r="A844" s="176"/>
      <c r="B844" s="181" t="s">
        <v>937</v>
      </c>
      <c r="C844" s="207" t="s">
        <v>195</v>
      </c>
      <c r="D844" s="193">
        <v>43.2</v>
      </c>
      <c r="E844" s="5"/>
    </row>
    <row r="845" spans="1:5" x14ac:dyDescent="0.25">
      <c r="A845" s="176"/>
      <c r="B845" s="181" t="s">
        <v>917</v>
      </c>
      <c r="C845" s="207" t="s">
        <v>195</v>
      </c>
      <c r="D845" s="193">
        <v>34.6</v>
      </c>
      <c r="E845" s="5"/>
    </row>
    <row r="846" spans="1:5" x14ac:dyDescent="0.25">
      <c r="A846" s="176"/>
      <c r="B846" s="181" t="s">
        <v>616</v>
      </c>
      <c r="C846" s="207" t="s">
        <v>195</v>
      </c>
      <c r="D846" s="193">
        <v>1.78</v>
      </c>
      <c r="E846" s="5"/>
    </row>
    <row r="847" spans="1:5" x14ac:dyDescent="0.25">
      <c r="A847" s="176"/>
      <c r="B847" s="181" t="s">
        <v>938</v>
      </c>
      <c r="C847" s="207" t="s">
        <v>195</v>
      </c>
      <c r="D847" s="193">
        <v>2.0099999999999998</v>
      </c>
      <c r="E847" s="5"/>
    </row>
    <row r="848" spans="1:5" x14ac:dyDescent="0.25">
      <c r="A848" s="176"/>
      <c r="B848" s="181" t="s">
        <v>939</v>
      </c>
      <c r="C848" s="207" t="s">
        <v>195</v>
      </c>
      <c r="D848" s="193">
        <v>68.97</v>
      </c>
      <c r="E848" s="5"/>
    </row>
    <row r="849" spans="1:5" x14ac:dyDescent="0.25">
      <c r="A849" s="176"/>
      <c r="B849" s="181" t="s">
        <v>940</v>
      </c>
      <c r="C849" s="207" t="s">
        <v>195</v>
      </c>
      <c r="D849" s="193">
        <v>4.5599999999999996</v>
      </c>
      <c r="E849" s="5"/>
    </row>
    <row r="850" spans="1:5" x14ac:dyDescent="0.25">
      <c r="A850" s="176"/>
      <c r="B850" s="181" t="s">
        <v>698</v>
      </c>
      <c r="C850" s="207" t="s">
        <v>195</v>
      </c>
      <c r="D850" s="193">
        <v>8.9700000000000006</v>
      </c>
      <c r="E850" s="5"/>
    </row>
    <row r="851" spans="1:5" x14ac:dyDescent="0.25">
      <c r="A851" s="176"/>
      <c r="B851" s="181" t="s">
        <v>941</v>
      </c>
      <c r="C851" s="207" t="s">
        <v>195</v>
      </c>
      <c r="D851" s="193">
        <v>10.44</v>
      </c>
      <c r="E851" s="5"/>
    </row>
    <row r="852" spans="1:5" x14ac:dyDescent="0.25">
      <c r="A852" s="176"/>
      <c r="B852" s="181" t="s">
        <v>942</v>
      </c>
      <c r="C852" s="207" t="s">
        <v>195</v>
      </c>
      <c r="D852" s="193">
        <v>5.52</v>
      </c>
      <c r="E852" s="5"/>
    </row>
    <row r="853" spans="1:5" x14ac:dyDescent="0.25">
      <c r="A853" s="176"/>
      <c r="B853" s="181" t="s">
        <v>943</v>
      </c>
      <c r="C853" s="207" t="s">
        <v>195</v>
      </c>
      <c r="D853" s="193">
        <v>5.52</v>
      </c>
      <c r="E853" s="5"/>
    </row>
    <row r="854" spans="1:5" x14ac:dyDescent="0.25">
      <c r="A854" s="176"/>
      <c r="B854" s="181" t="s">
        <v>944</v>
      </c>
      <c r="C854" s="207" t="s">
        <v>195</v>
      </c>
      <c r="D854" s="193">
        <v>5.52</v>
      </c>
      <c r="E854" s="5"/>
    </row>
    <row r="855" spans="1:5" x14ac:dyDescent="0.25">
      <c r="A855" s="176"/>
      <c r="B855" s="181" t="s">
        <v>945</v>
      </c>
      <c r="C855" s="207" t="s">
        <v>195</v>
      </c>
      <c r="D855" s="193">
        <v>21.26</v>
      </c>
      <c r="E855" s="5"/>
    </row>
    <row r="856" spans="1:5" x14ac:dyDescent="0.25">
      <c r="A856" s="176"/>
      <c r="B856" s="181" t="s">
        <v>946</v>
      </c>
      <c r="C856" s="207" t="s">
        <v>195</v>
      </c>
      <c r="D856" s="193">
        <v>10.3</v>
      </c>
      <c r="E856" s="5"/>
    </row>
    <row r="857" spans="1:5" x14ac:dyDescent="0.25">
      <c r="A857" s="176"/>
      <c r="B857" s="181" t="s">
        <v>650</v>
      </c>
      <c r="C857" s="207" t="s">
        <v>195</v>
      </c>
      <c r="D857" s="193">
        <v>9.7200000000000006</v>
      </c>
      <c r="E857" s="5"/>
    </row>
    <row r="858" spans="1:5" x14ac:dyDescent="0.25">
      <c r="A858" s="176"/>
      <c r="B858" s="181" t="s">
        <v>947</v>
      </c>
      <c r="C858" s="207" t="s">
        <v>195</v>
      </c>
      <c r="D858" s="193">
        <v>10.33</v>
      </c>
      <c r="E858" s="5"/>
    </row>
    <row r="859" spans="1:5" x14ac:dyDescent="0.25">
      <c r="A859" s="176"/>
      <c r="B859" s="181" t="s">
        <v>948</v>
      </c>
      <c r="C859" s="207" t="s">
        <v>195</v>
      </c>
      <c r="D859" s="193">
        <v>10.33</v>
      </c>
      <c r="E859" s="5"/>
    </row>
    <row r="860" spans="1:5" x14ac:dyDescent="0.25">
      <c r="A860" s="176"/>
      <c r="B860" s="181" t="s">
        <v>949</v>
      </c>
      <c r="C860" s="207" t="s">
        <v>195</v>
      </c>
      <c r="D860" s="193">
        <v>10.64</v>
      </c>
      <c r="E860" s="5"/>
    </row>
    <row r="861" spans="1:5" x14ac:dyDescent="0.25">
      <c r="A861" s="176"/>
      <c r="B861" s="181" t="s">
        <v>950</v>
      </c>
      <c r="C861" s="207" t="s">
        <v>195</v>
      </c>
      <c r="D861" s="193">
        <v>10.64</v>
      </c>
      <c r="E861" s="5"/>
    </row>
    <row r="862" spans="1:5" x14ac:dyDescent="0.25">
      <c r="A862" s="176"/>
      <c r="B862" s="181" t="s">
        <v>942</v>
      </c>
      <c r="C862" s="207" t="s">
        <v>195</v>
      </c>
      <c r="D862" s="193">
        <v>2.8</v>
      </c>
      <c r="E862" s="5"/>
    </row>
    <row r="863" spans="1:5" x14ac:dyDescent="0.25">
      <c r="A863" s="176"/>
      <c r="B863" s="181" t="s">
        <v>943</v>
      </c>
      <c r="C863" s="207" t="s">
        <v>195</v>
      </c>
      <c r="D863" s="193">
        <v>2.8</v>
      </c>
      <c r="E863" s="5"/>
    </row>
    <row r="864" spans="1:5" x14ac:dyDescent="0.25">
      <c r="A864" s="176"/>
      <c r="B864" s="181" t="s">
        <v>951</v>
      </c>
      <c r="C864" s="207" t="s">
        <v>195</v>
      </c>
      <c r="D864" s="193">
        <v>7.84</v>
      </c>
      <c r="E864" s="5"/>
    </row>
    <row r="865" spans="1:5" x14ac:dyDescent="0.25">
      <c r="A865" s="176"/>
      <c r="B865" s="181" t="s">
        <v>656</v>
      </c>
      <c r="C865" s="207" t="s">
        <v>195</v>
      </c>
      <c r="D865" s="193">
        <v>12.42</v>
      </c>
      <c r="E865" s="5"/>
    </row>
    <row r="866" spans="1:5" x14ac:dyDescent="0.25">
      <c r="A866" s="176"/>
      <c r="B866" s="181" t="s">
        <v>629</v>
      </c>
      <c r="C866" s="207" t="s">
        <v>195</v>
      </c>
      <c r="D866" s="193">
        <v>10.98</v>
      </c>
      <c r="E866" s="5"/>
    </row>
    <row r="867" spans="1:5" x14ac:dyDescent="0.25">
      <c r="A867" s="176"/>
      <c r="B867" s="181" t="s">
        <v>952</v>
      </c>
      <c r="C867" s="207" t="s">
        <v>195</v>
      </c>
      <c r="D867" s="193">
        <v>3.15</v>
      </c>
      <c r="E867" s="5"/>
    </row>
    <row r="868" spans="1:5" x14ac:dyDescent="0.25">
      <c r="A868" s="176"/>
      <c r="B868" s="181" t="s">
        <v>953</v>
      </c>
      <c r="C868" s="207" t="s">
        <v>195</v>
      </c>
      <c r="D868" s="193">
        <v>2.72</v>
      </c>
      <c r="E868" s="5"/>
    </row>
    <row r="869" spans="1:5" x14ac:dyDescent="0.25">
      <c r="A869" s="176"/>
      <c r="B869" s="181" t="s">
        <v>813</v>
      </c>
      <c r="C869" s="207" t="s">
        <v>195</v>
      </c>
      <c r="D869" s="193">
        <v>9.18</v>
      </c>
      <c r="E869" s="5"/>
    </row>
    <row r="870" spans="1:5" x14ac:dyDescent="0.25">
      <c r="A870" s="176"/>
      <c r="B870" s="181" t="s">
        <v>812</v>
      </c>
      <c r="C870" s="207" t="s">
        <v>195</v>
      </c>
      <c r="D870" s="193">
        <v>9.18</v>
      </c>
      <c r="E870" s="5"/>
    </row>
    <row r="871" spans="1:5" x14ac:dyDescent="0.25">
      <c r="A871" s="176"/>
      <c r="B871" s="181" t="s">
        <v>647</v>
      </c>
      <c r="C871" s="207" t="s">
        <v>195</v>
      </c>
      <c r="D871" s="193">
        <v>10.44</v>
      </c>
      <c r="E871" s="5"/>
    </row>
    <row r="872" spans="1:5" x14ac:dyDescent="0.25">
      <c r="A872" s="176"/>
      <c r="B872" s="181" t="s">
        <v>954</v>
      </c>
      <c r="C872" s="207" t="s">
        <v>195</v>
      </c>
      <c r="D872" s="193">
        <v>7.74</v>
      </c>
      <c r="E872" s="5"/>
    </row>
    <row r="873" spans="1:5" x14ac:dyDescent="0.25">
      <c r="A873" s="176"/>
      <c r="B873" s="181" t="s">
        <v>645</v>
      </c>
      <c r="C873" s="207" t="s">
        <v>195</v>
      </c>
      <c r="D873" s="193">
        <v>13.32</v>
      </c>
      <c r="E873" s="5"/>
    </row>
    <row r="874" spans="1:5" x14ac:dyDescent="0.25">
      <c r="A874" s="176"/>
      <c r="B874" s="181" t="s">
        <v>955</v>
      </c>
      <c r="C874" s="207" t="s">
        <v>195</v>
      </c>
      <c r="D874" s="193">
        <v>30.03</v>
      </c>
      <c r="E874" s="5"/>
    </row>
    <row r="875" spans="1:5" ht="15.75" thickBot="1" x14ac:dyDescent="0.3">
      <c r="A875" s="516" t="s">
        <v>43</v>
      </c>
      <c r="B875" s="517"/>
      <c r="C875" s="518"/>
      <c r="D875" s="179">
        <f>SUM(D812:D874)</f>
        <v>778.8399999999998</v>
      </c>
      <c r="E875" s="5"/>
    </row>
    <row r="876" spans="1:5" x14ac:dyDescent="0.25">
      <c r="A876" s="184" t="str">
        <f>ORÇAMENTO!A385</f>
        <v>18.2</v>
      </c>
      <c r="B876" s="185" t="str">
        <f>ORÇAMENTO!D385</f>
        <v xml:space="preserve">GESSO CORRIDO EM TETO </v>
      </c>
      <c r="C876" s="208" t="s">
        <v>195</v>
      </c>
      <c r="D876" s="193" t="s">
        <v>964</v>
      </c>
      <c r="E876" s="5"/>
    </row>
    <row r="877" spans="1:5" x14ac:dyDescent="0.25">
      <c r="A877" s="176"/>
      <c r="B877" s="181" t="s">
        <v>957</v>
      </c>
      <c r="C877" s="207" t="s">
        <v>195</v>
      </c>
      <c r="D877" s="193">
        <v>10</v>
      </c>
      <c r="E877" s="5"/>
    </row>
    <row r="878" spans="1:5" x14ac:dyDescent="0.25">
      <c r="A878" s="176"/>
      <c r="B878" s="181" t="s">
        <v>958</v>
      </c>
      <c r="C878" s="207" t="s">
        <v>195</v>
      </c>
      <c r="D878" s="193">
        <v>10</v>
      </c>
      <c r="E878" s="5"/>
    </row>
    <row r="879" spans="1:5" x14ac:dyDescent="0.25">
      <c r="A879" s="176"/>
      <c r="B879" s="181" t="s">
        <v>959</v>
      </c>
      <c r="C879" s="207" t="s">
        <v>195</v>
      </c>
      <c r="D879" s="193">
        <v>16.5</v>
      </c>
      <c r="E879" s="5"/>
    </row>
    <row r="880" spans="1:5" x14ac:dyDescent="0.25">
      <c r="A880" s="176"/>
      <c r="B880" s="181" t="s">
        <v>960</v>
      </c>
      <c r="C880" s="207" t="s">
        <v>195</v>
      </c>
      <c r="D880" s="193">
        <v>16.5</v>
      </c>
      <c r="E880" s="5"/>
    </row>
    <row r="881" spans="1:5" x14ac:dyDescent="0.25">
      <c r="A881" s="176"/>
      <c r="B881" s="181" t="s">
        <v>961</v>
      </c>
      <c r="C881" s="207" t="s">
        <v>195</v>
      </c>
      <c r="D881" s="193">
        <v>16.5</v>
      </c>
      <c r="E881" s="5"/>
    </row>
    <row r="882" spans="1:5" x14ac:dyDescent="0.25">
      <c r="A882" s="176"/>
      <c r="B882" s="181" t="s">
        <v>962</v>
      </c>
      <c r="C882" s="207" t="s">
        <v>195</v>
      </c>
      <c r="D882" s="193">
        <v>20.84</v>
      </c>
      <c r="E882" s="5"/>
    </row>
    <row r="883" spans="1:5" x14ac:dyDescent="0.25">
      <c r="A883" s="176"/>
      <c r="B883" s="181" t="s">
        <v>963</v>
      </c>
      <c r="C883" s="207" t="s">
        <v>195</v>
      </c>
      <c r="D883" s="193">
        <v>3.42</v>
      </c>
      <c r="E883" s="5"/>
    </row>
    <row r="884" spans="1:5" x14ac:dyDescent="0.25">
      <c r="A884" s="187"/>
      <c r="B884" s="181" t="s">
        <v>817</v>
      </c>
      <c r="C884" s="207" t="s">
        <v>195</v>
      </c>
      <c r="D884" s="193">
        <f>2.94*3</f>
        <v>8.82</v>
      </c>
      <c r="E884" s="5"/>
    </row>
    <row r="885" spans="1:5" x14ac:dyDescent="0.25">
      <c r="A885" s="187"/>
      <c r="B885" s="181" t="s">
        <v>956</v>
      </c>
      <c r="C885" s="207" t="s">
        <v>195</v>
      </c>
      <c r="D885" s="193">
        <f>1.3*3</f>
        <v>3.9000000000000004</v>
      </c>
      <c r="E885" s="5"/>
    </row>
    <row r="886" spans="1:5" x14ac:dyDescent="0.25">
      <c r="A886" s="181"/>
      <c r="B886" s="181" t="s">
        <v>1018</v>
      </c>
      <c r="C886" s="182" t="s">
        <v>195</v>
      </c>
      <c r="D886" s="182">
        <f>D898</f>
        <v>34.76</v>
      </c>
      <c r="E886" s="5"/>
    </row>
    <row r="887" spans="1:5" s="94" customFormat="1" x14ac:dyDescent="0.25">
      <c r="A887" s="181"/>
      <c r="B887" s="181" t="s">
        <v>1368</v>
      </c>
      <c r="C887" s="182" t="s">
        <v>195</v>
      </c>
      <c r="D887" s="182">
        <v>21.26</v>
      </c>
    </row>
    <row r="888" spans="1:5" ht="15.75" thickBot="1" x14ac:dyDescent="0.3">
      <c r="A888" s="516" t="s">
        <v>8</v>
      </c>
      <c r="B888" s="517"/>
      <c r="C888" s="518"/>
      <c r="D888" s="179">
        <f>SUM(D877:D887)</f>
        <v>162.5</v>
      </c>
      <c r="E888" s="5"/>
    </row>
    <row r="889" spans="1:5" ht="15.75" thickBot="1" x14ac:dyDescent="0.3">
      <c r="A889" s="169">
        <v>19</v>
      </c>
      <c r="B889" s="170" t="s">
        <v>38</v>
      </c>
      <c r="C889" s="171"/>
      <c r="D889" s="171"/>
      <c r="E889" s="5"/>
    </row>
    <row r="890" spans="1:5" ht="15.75" thickBot="1" x14ac:dyDescent="0.3">
      <c r="A890" s="172" t="s">
        <v>2</v>
      </c>
      <c r="B890" s="172" t="s">
        <v>316</v>
      </c>
      <c r="C890" s="172" t="s">
        <v>317</v>
      </c>
      <c r="D890" s="172" t="s">
        <v>318</v>
      </c>
      <c r="E890" s="5"/>
    </row>
    <row r="891" spans="1:5" ht="24" x14ac:dyDescent="0.25">
      <c r="A891" s="184" t="s">
        <v>259</v>
      </c>
      <c r="B891" s="185" t="s">
        <v>389</v>
      </c>
      <c r="C891" s="208" t="s">
        <v>195</v>
      </c>
      <c r="D891" s="193" t="s">
        <v>907</v>
      </c>
      <c r="E891" s="5"/>
    </row>
    <row r="892" spans="1:5" x14ac:dyDescent="0.25">
      <c r="A892" s="176"/>
      <c r="B892" s="181" t="s">
        <v>821</v>
      </c>
      <c r="C892" s="207" t="s">
        <v>195</v>
      </c>
      <c r="D892" s="193">
        <f>144.67+4.97</f>
        <v>149.63999999999999</v>
      </c>
      <c r="E892" s="5"/>
    </row>
    <row r="893" spans="1:5" ht="15.75" thickBot="1" x14ac:dyDescent="0.3">
      <c r="A893" s="516" t="s">
        <v>8</v>
      </c>
      <c r="B893" s="517"/>
      <c r="C893" s="518"/>
      <c r="D893" s="179">
        <f>D892</f>
        <v>149.63999999999999</v>
      </c>
      <c r="E893" s="5"/>
    </row>
    <row r="894" spans="1:5" x14ac:dyDescent="0.25">
      <c r="A894" s="184" t="s">
        <v>260</v>
      </c>
      <c r="B894" s="185" t="s">
        <v>387</v>
      </c>
      <c r="C894" s="208" t="s">
        <v>195</v>
      </c>
      <c r="D894" s="193" t="s">
        <v>388</v>
      </c>
      <c r="E894" s="5"/>
    </row>
    <row r="895" spans="1:5" x14ac:dyDescent="0.25">
      <c r="A895" s="184"/>
      <c r="B895" s="181" t="s">
        <v>1271</v>
      </c>
      <c r="C895" s="208" t="str">
        <f>C894</f>
        <v>m2</v>
      </c>
      <c r="D895" s="193">
        <f>D875+D888</f>
        <v>941.3399999999998</v>
      </c>
      <c r="E895" s="5"/>
    </row>
    <row r="896" spans="1:5" ht="15.75" thickBot="1" x14ac:dyDescent="0.3">
      <c r="A896" s="516" t="s">
        <v>8</v>
      </c>
      <c r="B896" s="517"/>
      <c r="C896" s="518"/>
      <c r="D896" s="179">
        <f>D895</f>
        <v>941.3399999999998</v>
      </c>
      <c r="E896" s="5"/>
    </row>
    <row r="897" spans="1:5" x14ac:dyDescent="0.25">
      <c r="A897" s="184" t="s">
        <v>261</v>
      </c>
      <c r="B897" s="185" t="str">
        <f>ORÇAMENTO!D391</f>
        <v>PISO EM CONCRETO DESEMPENADO ESPESSURA = 7 CM 1:2,5:3,5</v>
      </c>
      <c r="C897" s="208" t="s">
        <v>195</v>
      </c>
      <c r="D897" s="193" t="s">
        <v>390</v>
      </c>
      <c r="E897" s="5"/>
    </row>
    <row r="898" spans="1:5" x14ac:dyDescent="0.25">
      <c r="A898" s="176" t="s">
        <v>367</v>
      </c>
      <c r="B898" s="181" t="s">
        <v>819</v>
      </c>
      <c r="C898" s="207" t="s">
        <v>195</v>
      </c>
      <c r="D898" s="193">
        <v>34.76</v>
      </c>
      <c r="E898" s="5"/>
    </row>
    <row r="899" spans="1:5" x14ac:dyDescent="0.25">
      <c r="A899" s="176" t="s">
        <v>368</v>
      </c>
      <c r="B899" s="181" t="s">
        <v>1140</v>
      </c>
      <c r="C899" s="207" t="s">
        <v>195</v>
      </c>
      <c r="D899" s="193">
        <f>302.68-(16.39*2)*2+138.25</f>
        <v>375.37</v>
      </c>
      <c r="E899" s="5"/>
    </row>
    <row r="900" spans="1:5" ht="15.75" thickBot="1" x14ac:dyDescent="0.3">
      <c r="A900" s="516" t="s">
        <v>1272</v>
      </c>
      <c r="B900" s="517"/>
      <c r="C900" s="518"/>
      <c r="D900" s="179">
        <f>D898+D899</f>
        <v>410.13</v>
      </c>
      <c r="E900" s="5"/>
    </row>
    <row r="901" spans="1:5" x14ac:dyDescent="0.25">
      <c r="A901" s="184" t="s">
        <v>262</v>
      </c>
      <c r="B901" s="185" t="str">
        <f>ORÇAMENTO!D392</f>
        <v xml:space="preserve">GRANITINA 8MM FUNDIDA COM CONTRAPISO (1CI:3ARML) E=2CM E JUNTA PLASTICA 27MM </v>
      </c>
      <c r="C901" s="208" t="s">
        <v>195</v>
      </c>
      <c r="D901" s="193" t="s">
        <v>388</v>
      </c>
      <c r="E901" s="5"/>
    </row>
    <row r="902" spans="1:5" x14ac:dyDescent="0.25">
      <c r="A902" s="176" t="s">
        <v>367</v>
      </c>
      <c r="B902" s="181" t="s">
        <v>1150</v>
      </c>
      <c r="C902" s="207" t="s">
        <v>195</v>
      </c>
      <c r="D902" s="193">
        <f>D896</f>
        <v>941.3399999999998</v>
      </c>
      <c r="E902" s="5"/>
    </row>
    <row r="903" spans="1:5" x14ac:dyDescent="0.25">
      <c r="A903" s="187" t="s">
        <v>368</v>
      </c>
      <c r="B903" s="195" t="s">
        <v>819</v>
      </c>
      <c r="C903" s="246" t="str">
        <f>C902</f>
        <v>m2</v>
      </c>
      <c r="D903" s="193">
        <f>D898</f>
        <v>34.76</v>
      </c>
      <c r="E903" s="5"/>
    </row>
    <row r="904" spans="1:5" ht="15.75" thickBot="1" x14ac:dyDescent="0.3">
      <c r="A904" s="516" t="s">
        <v>1273</v>
      </c>
      <c r="B904" s="517"/>
      <c r="C904" s="518"/>
      <c r="D904" s="179">
        <f>D902-D903</f>
        <v>906.57999999999981</v>
      </c>
      <c r="E904" s="5"/>
    </row>
    <row r="905" spans="1:5" x14ac:dyDescent="0.25">
      <c r="A905" s="184" t="s">
        <v>263</v>
      </c>
      <c r="B905" s="185" t="str">
        <f>ORÇAMENTO!D393</f>
        <v xml:space="preserve">RODAPÉ FUNDIDO DE GRANITINA 7CM </v>
      </c>
      <c r="C905" s="208" t="s">
        <v>108</v>
      </c>
      <c r="D905" s="193" t="s">
        <v>677</v>
      </c>
      <c r="E905" s="5"/>
    </row>
    <row r="906" spans="1:5" x14ac:dyDescent="0.25">
      <c r="A906" s="176" t="s">
        <v>367</v>
      </c>
      <c r="B906" s="181" t="s">
        <v>676</v>
      </c>
      <c r="C906" s="207" t="s">
        <v>108</v>
      </c>
      <c r="D906" s="193">
        <v>839.23</v>
      </c>
      <c r="E906" s="5"/>
    </row>
    <row r="907" spans="1:5" ht="15.75" thickBot="1" x14ac:dyDescent="0.3">
      <c r="A907" s="516" t="s">
        <v>43</v>
      </c>
      <c r="B907" s="517"/>
      <c r="C907" s="518"/>
      <c r="D907" s="179">
        <f>D906</f>
        <v>839.23</v>
      </c>
      <c r="E907" s="5"/>
    </row>
    <row r="908" spans="1:5" ht="15.75" thickBot="1" x14ac:dyDescent="0.3">
      <c r="A908" s="169">
        <v>20</v>
      </c>
      <c r="B908" s="170" t="s">
        <v>39</v>
      </c>
      <c r="C908" s="171"/>
      <c r="D908" s="247"/>
      <c r="E908" s="5"/>
    </row>
    <row r="909" spans="1:5" ht="15.75" thickBot="1" x14ac:dyDescent="0.3">
      <c r="A909" s="172" t="s">
        <v>2</v>
      </c>
      <c r="B909" s="172" t="s">
        <v>316</v>
      </c>
      <c r="C909" s="172" t="s">
        <v>317</v>
      </c>
      <c r="D909" s="172" t="s">
        <v>318</v>
      </c>
      <c r="E909" s="5"/>
    </row>
    <row r="910" spans="1:5" x14ac:dyDescent="0.25">
      <c r="A910" s="184" t="str">
        <f>ORÇAMENTO!A397</f>
        <v>20.1</v>
      </c>
      <c r="B910" s="185" t="s">
        <v>394</v>
      </c>
      <c r="C910" s="208" t="s">
        <v>375</v>
      </c>
      <c r="D910" s="193" t="s">
        <v>393</v>
      </c>
      <c r="E910" s="5"/>
    </row>
    <row r="911" spans="1:5" x14ac:dyDescent="0.25">
      <c r="A911" s="176"/>
      <c r="B911" s="181" t="s">
        <v>797</v>
      </c>
      <c r="C911" s="207" t="s">
        <v>375</v>
      </c>
      <c r="D911" s="193">
        <f>D640+D610+D604</f>
        <v>45</v>
      </c>
      <c r="E911" s="5"/>
    </row>
    <row r="912" spans="1:5" ht="15.75" thickBot="1" x14ac:dyDescent="0.3">
      <c r="A912" s="516" t="s">
        <v>43</v>
      </c>
      <c r="B912" s="517"/>
      <c r="C912" s="518"/>
      <c r="D912" s="179">
        <f>D911</f>
        <v>45</v>
      </c>
      <c r="E912" s="5"/>
    </row>
    <row r="913" spans="1:5" x14ac:dyDescent="0.25">
      <c r="A913" s="184" t="str">
        <f>ORÇAMENTO!A398</f>
        <v>20.2</v>
      </c>
      <c r="B913" s="185" t="str">
        <f>ORÇAMENTO!D398</f>
        <v xml:space="preserve">BARRA DE APOIO EM AÇO INOX - 40 CM </v>
      </c>
      <c r="C913" s="208" t="s">
        <v>375</v>
      </c>
      <c r="D913" s="193" t="s">
        <v>393</v>
      </c>
      <c r="E913" s="5"/>
    </row>
    <row r="914" spans="1:5" x14ac:dyDescent="0.25">
      <c r="A914" s="176"/>
      <c r="B914" s="181" t="s">
        <v>921</v>
      </c>
      <c r="C914" s="207" t="s">
        <v>375</v>
      </c>
      <c r="D914" s="193">
        <v>2</v>
      </c>
      <c r="E914" s="5"/>
    </row>
    <row r="915" spans="1:5" x14ac:dyDescent="0.25">
      <c r="A915" s="176"/>
      <c r="B915" s="181" t="s">
        <v>969</v>
      </c>
      <c r="C915" s="207" t="s">
        <v>375</v>
      </c>
      <c r="D915" s="193">
        <v>2</v>
      </c>
      <c r="E915" s="5"/>
    </row>
    <row r="916" spans="1:5" x14ac:dyDescent="0.25">
      <c r="A916" s="176"/>
      <c r="B916" s="181" t="s">
        <v>970</v>
      </c>
      <c r="C916" s="207" t="s">
        <v>375</v>
      </c>
      <c r="D916" s="193">
        <v>2</v>
      </c>
      <c r="E916" s="5"/>
    </row>
    <row r="917" spans="1:5" x14ac:dyDescent="0.25">
      <c r="A917" s="176"/>
      <c r="B917" s="181" t="s">
        <v>971</v>
      </c>
      <c r="C917" s="207" t="s">
        <v>375</v>
      </c>
      <c r="D917" s="193">
        <v>2</v>
      </c>
      <c r="E917" s="5"/>
    </row>
    <row r="918" spans="1:5" x14ac:dyDescent="0.25">
      <c r="A918" s="176"/>
      <c r="B918" s="181" t="s">
        <v>972</v>
      </c>
      <c r="C918" s="207" t="s">
        <v>375</v>
      </c>
      <c r="D918" s="193">
        <v>2</v>
      </c>
      <c r="E918" s="5"/>
    </row>
    <row r="919" spans="1:5" ht="15.75" thickBot="1" x14ac:dyDescent="0.3">
      <c r="A919" s="516" t="s">
        <v>43</v>
      </c>
      <c r="B919" s="517"/>
      <c r="C919" s="518"/>
      <c r="D919" s="179">
        <f>SUM(D914:D918)</f>
        <v>10</v>
      </c>
      <c r="E919" s="5"/>
    </row>
    <row r="920" spans="1:5" x14ac:dyDescent="0.25">
      <c r="A920" s="184" t="str">
        <f>ORÇAMENTO!A399</f>
        <v>20.3</v>
      </c>
      <c r="B920" s="185" t="str">
        <f>ORÇAMENTO!D399</f>
        <v xml:space="preserve">BARRA DE APOIO EM AÇO INOX - 80 CM </v>
      </c>
      <c r="C920" s="208" t="s">
        <v>375</v>
      </c>
      <c r="D920" s="193" t="s">
        <v>393</v>
      </c>
      <c r="E920" s="5"/>
    </row>
    <row r="921" spans="1:5" x14ac:dyDescent="0.25">
      <c r="A921" s="176"/>
      <c r="B921" s="181" t="s">
        <v>921</v>
      </c>
      <c r="C921" s="207" t="s">
        <v>375</v>
      </c>
      <c r="D921" s="193">
        <v>2</v>
      </c>
      <c r="E921" s="5"/>
    </row>
    <row r="922" spans="1:5" x14ac:dyDescent="0.25">
      <c r="A922" s="176"/>
      <c r="B922" s="181" t="s">
        <v>1277</v>
      </c>
      <c r="C922" s="207" t="s">
        <v>375</v>
      </c>
      <c r="D922" s="193">
        <v>3</v>
      </c>
      <c r="E922" s="5"/>
    </row>
    <row r="923" spans="1:5" x14ac:dyDescent="0.25">
      <c r="A923" s="176"/>
      <c r="B923" s="181" t="s">
        <v>1278</v>
      </c>
      <c r="C923" s="207" t="s">
        <v>375</v>
      </c>
      <c r="D923" s="193">
        <v>2</v>
      </c>
      <c r="E923" s="5"/>
    </row>
    <row r="924" spans="1:5" x14ac:dyDescent="0.25">
      <c r="A924" s="176"/>
      <c r="B924" s="181" t="s">
        <v>1279</v>
      </c>
      <c r="C924" s="207" t="s">
        <v>375</v>
      </c>
      <c r="D924" s="193">
        <v>2</v>
      </c>
      <c r="E924" s="5"/>
    </row>
    <row r="925" spans="1:5" x14ac:dyDescent="0.25">
      <c r="A925" s="176"/>
      <c r="B925" s="181" t="s">
        <v>1280</v>
      </c>
      <c r="C925" s="207" t="s">
        <v>375</v>
      </c>
      <c r="D925" s="193">
        <v>2</v>
      </c>
      <c r="E925" s="5"/>
    </row>
    <row r="926" spans="1:5" ht="15.75" thickBot="1" x14ac:dyDescent="0.3">
      <c r="A926" s="516" t="s">
        <v>43</v>
      </c>
      <c r="B926" s="517"/>
      <c r="C926" s="518"/>
      <c r="D926" s="179">
        <f>SUM(D921:D925)</f>
        <v>11</v>
      </c>
      <c r="E926" s="5"/>
    </row>
    <row r="927" spans="1:5" ht="24" x14ac:dyDescent="0.25">
      <c r="A927" s="184" t="s">
        <v>251</v>
      </c>
      <c r="B927" s="185" t="s">
        <v>1276</v>
      </c>
      <c r="C927" s="208" t="s">
        <v>375</v>
      </c>
      <c r="D927" s="193" t="s">
        <v>393</v>
      </c>
      <c r="E927" s="5"/>
    </row>
    <row r="928" spans="1:5" x14ac:dyDescent="0.25">
      <c r="A928" s="176"/>
      <c r="B928" s="181" t="s">
        <v>969</v>
      </c>
      <c r="C928" s="207" t="s">
        <v>375</v>
      </c>
      <c r="D928" s="193">
        <v>1</v>
      </c>
      <c r="E928" s="5"/>
    </row>
    <row r="929" spans="1:5" x14ac:dyDescent="0.25">
      <c r="A929" s="176"/>
      <c r="B929" s="181" t="s">
        <v>970</v>
      </c>
      <c r="C929" s="207" t="s">
        <v>375</v>
      </c>
      <c r="D929" s="193">
        <v>1</v>
      </c>
      <c r="E929" s="5"/>
    </row>
    <row r="930" spans="1:5" x14ac:dyDescent="0.25">
      <c r="A930" s="176"/>
      <c r="B930" s="181" t="s">
        <v>971</v>
      </c>
      <c r="C930" s="207" t="s">
        <v>375</v>
      </c>
      <c r="D930" s="193">
        <v>1</v>
      </c>
      <c r="E930" s="5"/>
    </row>
    <row r="931" spans="1:5" x14ac:dyDescent="0.25">
      <c r="A931" s="176"/>
      <c r="B931" s="181" t="s">
        <v>972</v>
      </c>
      <c r="C931" s="207" t="s">
        <v>375</v>
      </c>
      <c r="D931" s="193">
        <v>1</v>
      </c>
      <c r="E931" s="5"/>
    </row>
    <row r="932" spans="1:5" ht="15.75" thickBot="1" x14ac:dyDescent="0.3">
      <c r="A932" s="516" t="s">
        <v>43</v>
      </c>
      <c r="B932" s="517"/>
      <c r="C932" s="518"/>
      <c r="D932" s="179">
        <f>SUM(D927:D931)</f>
        <v>4</v>
      </c>
      <c r="E932" s="5"/>
    </row>
    <row r="933" spans="1:5" ht="24" x14ac:dyDescent="0.25">
      <c r="A933" s="184" t="s">
        <v>424</v>
      </c>
      <c r="B933" s="185" t="s">
        <v>1274</v>
      </c>
      <c r="C933" s="208" t="s">
        <v>375</v>
      </c>
      <c r="D933" s="193" t="s">
        <v>393</v>
      </c>
      <c r="E933" s="5"/>
    </row>
    <row r="934" spans="1:5" x14ac:dyDescent="0.25">
      <c r="A934" s="176"/>
      <c r="B934" s="181" t="s">
        <v>970</v>
      </c>
      <c r="C934" s="207" t="s">
        <v>375</v>
      </c>
      <c r="D934" s="193">
        <v>1</v>
      </c>
      <c r="E934" s="5"/>
    </row>
    <row r="935" spans="1:5" x14ac:dyDescent="0.25">
      <c r="A935" s="176"/>
      <c r="B935" s="181" t="s">
        <v>971</v>
      </c>
      <c r="C935" s="207" t="s">
        <v>375</v>
      </c>
      <c r="D935" s="193">
        <v>1</v>
      </c>
      <c r="E935" s="5"/>
    </row>
    <row r="936" spans="1:5" x14ac:dyDescent="0.25">
      <c r="A936" s="176"/>
      <c r="B936" s="181" t="s">
        <v>972</v>
      </c>
      <c r="C936" s="207" t="s">
        <v>375</v>
      </c>
      <c r="D936" s="193">
        <v>1</v>
      </c>
      <c r="E936" s="5"/>
    </row>
    <row r="937" spans="1:5" ht="15.75" thickBot="1" x14ac:dyDescent="0.3">
      <c r="A937" s="516" t="s">
        <v>43</v>
      </c>
      <c r="B937" s="517"/>
      <c r="C937" s="518"/>
      <c r="D937" s="179">
        <f>SUM(D934:D936)</f>
        <v>3</v>
      </c>
      <c r="E937" s="5"/>
    </row>
    <row r="938" spans="1:5" ht="24" x14ac:dyDescent="0.25">
      <c r="A938" s="184" t="s">
        <v>679</v>
      </c>
      <c r="B938" s="185" t="s">
        <v>1275</v>
      </c>
      <c r="C938" s="208" t="s">
        <v>375</v>
      </c>
      <c r="D938" s="193" t="s">
        <v>393</v>
      </c>
      <c r="E938" s="5"/>
    </row>
    <row r="939" spans="1:5" x14ac:dyDescent="0.25">
      <c r="A939" s="176"/>
      <c r="B939" s="181" t="s">
        <v>969</v>
      </c>
      <c r="C939" s="207" t="s">
        <v>375</v>
      </c>
      <c r="D939" s="193">
        <v>1</v>
      </c>
      <c r="E939" s="5"/>
    </row>
    <row r="940" spans="1:5" x14ac:dyDescent="0.25">
      <c r="A940" s="176"/>
      <c r="B940" s="181" t="s">
        <v>970</v>
      </c>
      <c r="C940" s="207" t="s">
        <v>375</v>
      </c>
      <c r="D940" s="193">
        <v>1</v>
      </c>
      <c r="E940" s="5"/>
    </row>
    <row r="941" spans="1:5" x14ac:dyDescent="0.25">
      <c r="A941" s="176"/>
      <c r="B941" s="181" t="s">
        <v>971</v>
      </c>
      <c r="C941" s="207" t="s">
        <v>375</v>
      </c>
      <c r="D941" s="193">
        <v>1</v>
      </c>
      <c r="E941" s="5"/>
    </row>
    <row r="942" spans="1:5" x14ac:dyDescent="0.25">
      <c r="A942" s="176"/>
      <c r="B942" s="181" t="s">
        <v>972</v>
      </c>
      <c r="C942" s="207" t="s">
        <v>375</v>
      </c>
      <c r="D942" s="193">
        <v>1</v>
      </c>
      <c r="E942" s="5"/>
    </row>
    <row r="943" spans="1:5" ht="15.75" thickBot="1" x14ac:dyDescent="0.3">
      <c r="A943" s="516" t="s">
        <v>43</v>
      </c>
      <c r="B943" s="517"/>
      <c r="C943" s="518"/>
      <c r="D943" s="179">
        <f>SUM(D939:D942)</f>
        <v>4</v>
      </c>
      <c r="E943" s="5"/>
    </row>
    <row r="944" spans="1:5" x14ac:dyDescent="0.25">
      <c r="A944" s="184" t="s">
        <v>1281</v>
      </c>
      <c r="B944" s="185" t="str">
        <f>ORÇAMENTO!D403</f>
        <v xml:space="preserve">DOBRADICA 3" x 3 1/2" FERRO POLIDO </v>
      </c>
      <c r="C944" s="208" t="s">
        <v>375</v>
      </c>
      <c r="D944" s="193" t="s">
        <v>395</v>
      </c>
      <c r="E944" s="5"/>
    </row>
    <row r="945" spans="1:5" x14ac:dyDescent="0.25">
      <c r="A945" s="176"/>
      <c r="B945" s="181" t="s">
        <v>797</v>
      </c>
      <c r="C945" s="207" t="s">
        <v>375</v>
      </c>
      <c r="D945" s="193">
        <f>D912*3</f>
        <v>135</v>
      </c>
      <c r="E945" s="5"/>
    </row>
    <row r="946" spans="1:5" ht="15.75" thickBot="1" x14ac:dyDescent="0.3">
      <c r="A946" s="516" t="s">
        <v>43</v>
      </c>
      <c r="B946" s="517"/>
      <c r="C946" s="518"/>
      <c r="D946" s="179">
        <f>D945</f>
        <v>135</v>
      </c>
      <c r="E946" s="5"/>
    </row>
    <row r="947" spans="1:5" x14ac:dyDescent="0.25">
      <c r="A947" s="184" t="s">
        <v>1282</v>
      </c>
      <c r="B947" s="185" t="s">
        <v>396</v>
      </c>
      <c r="C947" s="208" t="s">
        <v>375</v>
      </c>
      <c r="D947" s="193" t="s">
        <v>393</v>
      </c>
      <c r="E947" s="5"/>
    </row>
    <row r="948" spans="1:5" x14ac:dyDescent="0.25">
      <c r="A948" s="176"/>
      <c r="B948" s="181" t="s">
        <v>798</v>
      </c>
      <c r="C948" s="207" t="s">
        <v>375</v>
      </c>
      <c r="D948" s="193">
        <v>7</v>
      </c>
      <c r="E948" s="5"/>
    </row>
    <row r="949" spans="1:5" ht="15.75" thickBot="1" x14ac:dyDescent="0.3">
      <c r="A949" s="516" t="s">
        <v>43</v>
      </c>
      <c r="B949" s="517"/>
      <c r="C949" s="518"/>
      <c r="D949" s="179">
        <f>D948</f>
        <v>7</v>
      </c>
      <c r="E949" s="5"/>
    </row>
    <row r="950" spans="1:5" x14ac:dyDescent="0.25">
      <c r="A950" s="184" t="s">
        <v>1283</v>
      </c>
      <c r="B950" s="185" t="str">
        <f>ORÇAMENTO!D405</f>
        <v>DOBRADIÇA TIPO VAI E VEM EM LATÃO POLIDO 3". AF_12/2019</v>
      </c>
      <c r="C950" s="208" t="s">
        <v>375</v>
      </c>
      <c r="D950" s="193" t="s">
        <v>395</v>
      </c>
      <c r="E950" s="5"/>
    </row>
    <row r="951" spans="1:5" x14ac:dyDescent="0.25">
      <c r="A951" s="176"/>
      <c r="B951" s="181" t="s">
        <v>696</v>
      </c>
      <c r="C951" s="207" t="s">
        <v>375</v>
      </c>
      <c r="D951" s="193">
        <f>D650</f>
        <v>18</v>
      </c>
      <c r="E951" s="5"/>
    </row>
    <row r="952" spans="1:5" ht="15.75" thickBot="1" x14ac:dyDescent="0.3">
      <c r="A952" s="516" t="s">
        <v>43</v>
      </c>
      <c r="B952" s="517"/>
      <c r="C952" s="518"/>
      <c r="D952" s="179">
        <f>D951*3</f>
        <v>54</v>
      </c>
      <c r="E952" s="5"/>
    </row>
    <row r="953" spans="1:5" ht="15.75" thickBot="1" x14ac:dyDescent="0.3">
      <c r="A953" s="169">
        <f>ORÇAMENTO!A408</f>
        <v>21</v>
      </c>
      <c r="B953" s="170" t="str">
        <f>ORÇAMENTO!D408</f>
        <v>MARCENARIA</v>
      </c>
      <c r="C953" s="171"/>
      <c r="D953" s="171"/>
      <c r="E953" s="5"/>
    </row>
    <row r="954" spans="1:5" ht="15" customHeight="1" thickBot="1" x14ac:dyDescent="0.3">
      <c r="A954" s="172" t="s">
        <v>2</v>
      </c>
      <c r="B954" s="172" t="s">
        <v>316</v>
      </c>
      <c r="C954" s="172" t="s">
        <v>317</v>
      </c>
      <c r="D954" s="172" t="s">
        <v>318</v>
      </c>
      <c r="E954" s="5"/>
    </row>
    <row r="955" spans="1:5" x14ac:dyDescent="0.25">
      <c r="A955" s="184" t="s">
        <v>253</v>
      </c>
      <c r="B955" s="248" t="str">
        <f>ORÇAMENTO!D409</f>
        <v>BATE MACA 2,5 X 12 CM/ENVERNIZ. E ASSENTADO</v>
      </c>
      <c r="C955" s="208" t="str">
        <f>ORÇAMENTO!F409</f>
        <v>m</v>
      </c>
      <c r="D955" s="193" t="s">
        <v>827</v>
      </c>
      <c r="E955" s="5"/>
    </row>
    <row r="956" spans="1:5" x14ac:dyDescent="0.25">
      <c r="A956" s="184" t="s">
        <v>367</v>
      </c>
      <c r="B956" s="181" t="s">
        <v>1007</v>
      </c>
      <c r="C956" s="207" t="s">
        <v>108</v>
      </c>
      <c r="D956" s="193">
        <f>2.15+2.15+3.65+3.65</f>
        <v>11.6</v>
      </c>
      <c r="E956" s="5"/>
    </row>
    <row r="957" spans="1:5" x14ac:dyDescent="0.25">
      <c r="A957" s="184"/>
      <c r="B957" s="181" t="s">
        <v>1001</v>
      </c>
      <c r="C957" s="207" t="s">
        <v>108</v>
      </c>
      <c r="D957" s="193">
        <f>17.34*2</f>
        <v>34.68</v>
      </c>
      <c r="E957" s="5"/>
    </row>
    <row r="958" spans="1:5" x14ac:dyDescent="0.25">
      <c r="A958" s="176"/>
      <c r="B958" s="181" t="s">
        <v>806</v>
      </c>
      <c r="C958" s="207" t="s">
        <v>108</v>
      </c>
      <c r="D958" s="193">
        <f>6.2+5.45+5.45</f>
        <v>17.100000000000001</v>
      </c>
      <c r="E958" s="5"/>
    </row>
    <row r="959" spans="1:5" x14ac:dyDescent="0.25">
      <c r="A959" s="184"/>
      <c r="B959" s="181" t="s">
        <v>1005</v>
      </c>
      <c r="C959" s="207" t="s">
        <v>108</v>
      </c>
      <c r="D959" s="193">
        <f>26.35+2+21.5</f>
        <v>49.85</v>
      </c>
      <c r="E959" s="5"/>
    </row>
    <row r="960" spans="1:5" x14ac:dyDescent="0.25">
      <c r="A960" s="176"/>
      <c r="B960" s="181" t="s">
        <v>1007</v>
      </c>
      <c r="C960" s="207" t="s">
        <v>108</v>
      </c>
      <c r="D960" s="193">
        <f>17.3+17.3+2+2</f>
        <v>38.6</v>
      </c>
      <c r="E960" s="5"/>
    </row>
    <row r="961" spans="1:5" x14ac:dyDescent="0.25">
      <c r="A961" s="184"/>
      <c r="B961" s="181" t="s">
        <v>939</v>
      </c>
      <c r="C961" s="207" t="s">
        <v>108</v>
      </c>
      <c r="D961" s="193">
        <f>4.7+14.25+5.37+10.9</f>
        <v>35.22</v>
      </c>
      <c r="E961" s="5"/>
    </row>
    <row r="962" spans="1:5" x14ac:dyDescent="0.25">
      <c r="A962" s="184"/>
      <c r="B962" s="181" t="s">
        <v>1284</v>
      </c>
      <c r="C962" s="207" t="s">
        <v>108</v>
      </c>
      <c r="D962" s="193">
        <f>5*2*1.6</f>
        <v>16</v>
      </c>
      <c r="E962" s="5"/>
    </row>
    <row r="963" spans="1:5" x14ac:dyDescent="0.25">
      <c r="A963" s="184" t="s">
        <v>368</v>
      </c>
      <c r="B963" s="181" t="s">
        <v>1003</v>
      </c>
      <c r="C963" s="207" t="s">
        <v>108</v>
      </c>
      <c r="D963" s="193">
        <f>1.25+0.8+1.6+0.8</f>
        <v>4.45</v>
      </c>
      <c r="E963" s="5"/>
    </row>
    <row r="964" spans="1:5" x14ac:dyDescent="0.25">
      <c r="A964" s="176"/>
      <c r="B964" s="181" t="s">
        <v>1004</v>
      </c>
      <c r="C964" s="207" t="s">
        <v>108</v>
      </c>
      <c r="D964" s="193">
        <f>2*1.6</f>
        <v>3.2</v>
      </c>
      <c r="E964" s="5"/>
    </row>
    <row r="965" spans="1:5" x14ac:dyDescent="0.25">
      <c r="A965" s="184"/>
      <c r="B965" s="181" t="s">
        <v>1006</v>
      </c>
      <c r="C965" s="207" t="s">
        <v>108</v>
      </c>
      <c r="D965" s="193">
        <f>5+1.5+1.6+10</f>
        <v>18.100000000000001</v>
      </c>
      <c r="E965" s="5"/>
    </row>
    <row r="966" spans="1:5" x14ac:dyDescent="0.25">
      <c r="A966" s="176"/>
      <c r="B966" s="181" t="s">
        <v>1008</v>
      </c>
      <c r="C966" s="207" t="s">
        <v>108</v>
      </c>
      <c r="D966" s="193">
        <f>5*1.6+1.7</f>
        <v>9.6999999999999993</v>
      </c>
      <c r="E966" s="5"/>
    </row>
    <row r="967" spans="1:5" x14ac:dyDescent="0.25">
      <c r="A967" s="176"/>
      <c r="B967" s="181" t="s">
        <v>1009</v>
      </c>
      <c r="C967" s="207" t="s">
        <v>108</v>
      </c>
      <c r="D967" s="193">
        <f>3+0.8+1.2+1.6</f>
        <v>6.6</v>
      </c>
      <c r="E967" s="5"/>
    </row>
    <row r="968" spans="1:5" ht="15.75" thickBot="1" x14ac:dyDescent="0.3">
      <c r="A968" s="516" t="s">
        <v>1002</v>
      </c>
      <c r="B968" s="517"/>
      <c r="C968" s="518"/>
      <c r="D968" s="179">
        <f>SUM(D956:D962)-SUM(D963:D967)</f>
        <v>161</v>
      </c>
      <c r="E968" s="5"/>
    </row>
    <row r="969" spans="1:5" ht="15.75" thickBot="1" x14ac:dyDescent="0.3">
      <c r="A969" s="169">
        <f>ORÇAMENTO!A412</f>
        <v>22</v>
      </c>
      <c r="B969" s="170" t="s">
        <v>40</v>
      </c>
      <c r="C969" s="171"/>
      <c r="D969" s="171"/>
      <c r="E969" s="5"/>
    </row>
    <row r="970" spans="1:5" ht="15" customHeight="1" thickBot="1" x14ac:dyDescent="0.3">
      <c r="A970" s="172" t="s">
        <v>2</v>
      </c>
      <c r="B970" s="172" t="s">
        <v>316</v>
      </c>
      <c r="C970" s="172" t="s">
        <v>317</v>
      </c>
      <c r="D970" s="172" t="s">
        <v>318</v>
      </c>
      <c r="E970" s="5"/>
    </row>
    <row r="971" spans="1:5" x14ac:dyDescent="0.25">
      <c r="A971" s="184" t="str">
        <f>ORÇAMENTO!A413</f>
        <v>22.1</v>
      </c>
      <c r="B971" s="248" t="str">
        <f>ORÇAMENTO!D413</f>
        <v>ENGENHEIRO - (OBRAS CIVIS)</v>
      </c>
      <c r="C971" s="208"/>
      <c r="D971" s="193" t="s">
        <v>397</v>
      </c>
      <c r="E971" s="5"/>
    </row>
    <row r="972" spans="1:5" x14ac:dyDescent="0.25">
      <c r="A972" s="184"/>
      <c r="B972" s="181" t="s">
        <v>50</v>
      </c>
      <c r="C972" s="207" t="s">
        <v>400</v>
      </c>
      <c r="D972" s="193">
        <v>12</v>
      </c>
      <c r="E972" s="5"/>
    </row>
    <row r="973" spans="1:5" x14ac:dyDescent="0.25">
      <c r="A973" s="176"/>
      <c r="B973" s="181" t="s">
        <v>398</v>
      </c>
      <c r="C973" s="207" t="s">
        <v>399</v>
      </c>
      <c r="D973" s="193">
        <v>3</v>
      </c>
      <c r="E973" s="5"/>
    </row>
    <row r="974" spans="1:5" ht="15.75" thickBot="1" x14ac:dyDescent="0.3">
      <c r="A974" s="516" t="s">
        <v>374</v>
      </c>
      <c r="B974" s="517"/>
      <c r="C974" s="518"/>
      <c r="D974" s="179">
        <f>D973*D972*22</f>
        <v>792</v>
      </c>
      <c r="E974" s="5"/>
    </row>
    <row r="975" spans="1:5" x14ac:dyDescent="0.25">
      <c r="A975" s="184" t="str">
        <f>ORÇAMENTO!A414</f>
        <v>22.2</v>
      </c>
      <c r="B975" s="248" t="str">
        <f>ORÇAMENTO!D414</f>
        <v>ENCARREGADO - (OBRAS CIVIS)</v>
      </c>
      <c r="C975" s="208"/>
      <c r="D975" s="193" t="s">
        <v>397</v>
      </c>
      <c r="E975" s="5"/>
    </row>
    <row r="976" spans="1:5" x14ac:dyDescent="0.25">
      <c r="A976" s="184"/>
      <c r="B976" s="181" t="s">
        <v>50</v>
      </c>
      <c r="C976" s="207" t="s">
        <v>400</v>
      </c>
      <c r="D976" s="193">
        <v>12</v>
      </c>
      <c r="E976" s="5"/>
    </row>
    <row r="977" spans="1:5" x14ac:dyDescent="0.25">
      <c r="A977" s="176"/>
      <c r="B977" s="181" t="s">
        <v>398</v>
      </c>
      <c r="C977" s="207" t="s">
        <v>399</v>
      </c>
      <c r="D977" s="193">
        <v>7</v>
      </c>
      <c r="E977" s="5"/>
    </row>
    <row r="978" spans="1:5" ht="15.75" thickBot="1" x14ac:dyDescent="0.3">
      <c r="A978" s="516" t="s">
        <v>374</v>
      </c>
      <c r="B978" s="517"/>
      <c r="C978" s="518"/>
      <c r="D978" s="179">
        <f>D977*D976*22</f>
        <v>1848</v>
      </c>
      <c r="E978" s="5"/>
    </row>
    <row r="979" spans="1:5" x14ac:dyDescent="0.25">
      <c r="A979" s="184" t="str">
        <f>ORÇAMENTO!A415</f>
        <v>22.3</v>
      </c>
      <c r="B979" s="248" t="str">
        <f>ORÇAMENTO!D415</f>
        <v>VIGIA DE OBRAS - (NOTURNO) - OBRAS CIVIS</v>
      </c>
      <c r="C979" s="208"/>
      <c r="D979" s="193" t="s">
        <v>397</v>
      </c>
      <c r="E979" s="5"/>
    </row>
    <row r="980" spans="1:5" x14ac:dyDescent="0.25">
      <c r="A980" s="184"/>
      <c r="B980" s="181" t="s">
        <v>50</v>
      </c>
      <c r="C980" s="207" t="s">
        <v>400</v>
      </c>
      <c r="D980" s="193">
        <v>12</v>
      </c>
      <c r="E980" s="5"/>
    </row>
    <row r="981" spans="1:5" x14ac:dyDescent="0.25">
      <c r="A981" s="176"/>
      <c r="B981" s="181" t="s">
        <v>398</v>
      </c>
      <c r="C981" s="207" t="s">
        <v>399</v>
      </c>
      <c r="D981" s="193">
        <v>12</v>
      </c>
      <c r="E981" s="5"/>
    </row>
    <row r="982" spans="1:5" ht="15.75" thickBot="1" x14ac:dyDescent="0.3">
      <c r="A982" s="516" t="s">
        <v>374</v>
      </c>
      <c r="B982" s="517"/>
      <c r="C982" s="518"/>
      <c r="D982" s="179">
        <f>D981*(D980*2)*30</f>
        <v>8640</v>
      </c>
      <c r="E982" s="5"/>
    </row>
    <row r="983" spans="1:5" ht="15.75" thickBot="1" x14ac:dyDescent="0.3">
      <c r="A983" s="169">
        <f>ORÇAMENTO!A418</f>
        <v>23</v>
      </c>
      <c r="B983" s="170" t="s">
        <v>41</v>
      </c>
      <c r="C983" s="171"/>
      <c r="D983" s="171"/>
      <c r="E983" s="5"/>
    </row>
    <row r="984" spans="1:5" ht="15.75" thickBot="1" x14ac:dyDescent="0.3">
      <c r="A984" s="172" t="s">
        <v>2</v>
      </c>
      <c r="B984" s="172" t="s">
        <v>316</v>
      </c>
      <c r="C984" s="172" t="s">
        <v>317</v>
      </c>
      <c r="D984" s="172" t="s">
        <v>318</v>
      </c>
      <c r="E984" s="5"/>
    </row>
    <row r="985" spans="1:5" x14ac:dyDescent="0.25">
      <c r="A985" s="184" t="str">
        <f>ORÇAMENTO!A419</f>
        <v>23.1</v>
      </c>
      <c r="B985" s="185" t="str">
        <f>ORÇAMENTO!D419</f>
        <v>PINTURA TEXTURIZADA C/SELADOR ACRILICO</v>
      </c>
      <c r="C985" s="208" t="s">
        <v>195</v>
      </c>
      <c r="D985" s="193" t="s">
        <v>412</v>
      </c>
      <c r="E985" s="5"/>
    </row>
    <row r="986" spans="1:5" x14ac:dyDescent="0.25">
      <c r="A986" s="176"/>
      <c r="B986" s="249" t="s">
        <v>1012</v>
      </c>
      <c r="C986" s="207" t="s">
        <v>195</v>
      </c>
      <c r="D986" s="193">
        <f>SUM(D504:D507)</f>
        <v>1250.4299999999998</v>
      </c>
      <c r="E986" s="5"/>
    </row>
    <row r="987" spans="1:5" ht="15.75" thickBot="1" x14ac:dyDescent="0.3">
      <c r="A987" s="516" t="s">
        <v>8</v>
      </c>
      <c r="B987" s="517"/>
      <c r="C987" s="518"/>
      <c r="D987" s="179">
        <f>SUM(D986:D986)</f>
        <v>1250.4299999999998</v>
      </c>
      <c r="E987" s="5"/>
    </row>
    <row r="988" spans="1:5" x14ac:dyDescent="0.25">
      <c r="A988" s="184" t="str">
        <f>ORÇAMENTO!A420</f>
        <v>23.2</v>
      </c>
      <c r="B988" s="185" t="str">
        <f>ORÇAMENTO!D420</f>
        <v>PINTURA PVA LATEX 2 DEMAOS SEM SELADOR</v>
      </c>
      <c r="C988" s="208" t="s">
        <v>195</v>
      </c>
      <c r="D988" s="193" t="s">
        <v>412</v>
      </c>
      <c r="E988" s="5"/>
    </row>
    <row r="989" spans="1:5" x14ac:dyDescent="0.25">
      <c r="A989" s="176" t="s">
        <v>367</v>
      </c>
      <c r="B989" s="181" t="s">
        <v>1011</v>
      </c>
      <c r="C989" s="207" t="s">
        <v>195</v>
      </c>
      <c r="D989" s="193">
        <f>D986</f>
        <v>1250.4299999999998</v>
      </c>
      <c r="E989" s="5"/>
    </row>
    <row r="990" spans="1:5" x14ac:dyDescent="0.25">
      <c r="A990" s="176" t="s">
        <v>368</v>
      </c>
      <c r="B990" s="181" t="s">
        <v>1290</v>
      </c>
      <c r="C990" s="207" t="s">
        <v>195</v>
      </c>
      <c r="D990" s="193">
        <f>SUM(D508:D511)*2</f>
        <v>2509.3650000000007</v>
      </c>
      <c r="E990" s="5"/>
    </row>
    <row r="991" spans="1:5" x14ac:dyDescent="0.25">
      <c r="A991" s="187" t="s">
        <v>369</v>
      </c>
      <c r="B991" s="181" t="s">
        <v>1013</v>
      </c>
      <c r="C991" s="207" t="s">
        <v>195</v>
      </c>
      <c r="D991" s="193">
        <f>D804</f>
        <v>666.16499999999974</v>
      </c>
      <c r="E991" s="5"/>
    </row>
    <row r="992" spans="1:5" ht="15.75" thickBot="1" x14ac:dyDescent="0.3">
      <c r="A992" s="516" t="s">
        <v>1014</v>
      </c>
      <c r="B992" s="517"/>
      <c r="C992" s="518"/>
      <c r="D992" s="179">
        <f>D989+D990-D991</f>
        <v>3093.630000000001</v>
      </c>
      <c r="E992" s="5"/>
    </row>
    <row r="993" spans="1:5" x14ac:dyDescent="0.25">
      <c r="A993" s="184" t="s">
        <v>266</v>
      </c>
      <c r="B993" s="185" t="s">
        <v>1288</v>
      </c>
      <c r="C993" s="186" t="s">
        <v>195</v>
      </c>
      <c r="D993" s="193" t="s">
        <v>409</v>
      </c>
      <c r="E993" s="5"/>
    </row>
    <row r="994" spans="1:5" x14ac:dyDescent="0.25">
      <c r="A994" s="176"/>
      <c r="B994" s="181" t="s">
        <v>1289</v>
      </c>
      <c r="C994" s="207" t="s">
        <v>195</v>
      </c>
      <c r="D994" s="193">
        <f>D720*2</f>
        <v>890.55000000000007</v>
      </c>
      <c r="E994" s="5"/>
    </row>
    <row r="995" spans="1:5" ht="15.75" thickBot="1" x14ac:dyDescent="0.3">
      <c r="A995" s="516" t="s">
        <v>8</v>
      </c>
      <c r="B995" s="517"/>
      <c r="C995" s="518"/>
      <c r="D995" s="179">
        <f>D994</f>
        <v>890.55000000000007</v>
      </c>
      <c r="E995" s="5"/>
    </row>
    <row r="996" spans="1:5" x14ac:dyDescent="0.25">
      <c r="A996" s="184" t="s">
        <v>267</v>
      </c>
      <c r="B996" s="185" t="str">
        <f>ORÇAMENTO!D422</f>
        <v>PINTURA COM SELADOR ACRILICO</v>
      </c>
      <c r="C996" s="186" t="s">
        <v>195</v>
      </c>
      <c r="D996" s="193" t="s">
        <v>409</v>
      </c>
      <c r="E996" s="5"/>
    </row>
    <row r="997" spans="1:5" x14ac:dyDescent="0.25">
      <c r="A997" s="176"/>
      <c r="B997" s="181" t="s">
        <v>1015</v>
      </c>
      <c r="C997" s="207" t="s">
        <v>195</v>
      </c>
      <c r="D997" s="193">
        <f>D992</f>
        <v>3093.630000000001</v>
      </c>
      <c r="E997" s="5"/>
    </row>
    <row r="998" spans="1:5" ht="15.75" thickBot="1" x14ac:dyDescent="0.3">
      <c r="A998" s="516" t="s">
        <v>8</v>
      </c>
      <c r="B998" s="517"/>
      <c r="C998" s="518"/>
      <c r="D998" s="179">
        <f>D997</f>
        <v>3093.630000000001</v>
      </c>
      <c r="E998" s="5"/>
    </row>
    <row r="999" spans="1:5" x14ac:dyDescent="0.25">
      <c r="A999" s="184" t="s">
        <v>268</v>
      </c>
      <c r="B999" s="185" t="str">
        <f>ORÇAMENTO!D423</f>
        <v>EMASSAMENTO COM MASSA PVA DUAS DEMAOS</v>
      </c>
      <c r="C999" s="208" t="s">
        <v>195</v>
      </c>
      <c r="D999" s="193" t="s">
        <v>401</v>
      </c>
      <c r="E999" s="5"/>
    </row>
    <row r="1000" spans="1:5" x14ac:dyDescent="0.25">
      <c r="A1000" s="176"/>
      <c r="B1000" s="181" t="s">
        <v>1015</v>
      </c>
      <c r="C1000" s="207" t="s">
        <v>195</v>
      </c>
      <c r="D1000" s="193">
        <f>D992</f>
        <v>3093.630000000001</v>
      </c>
      <c r="E1000" s="5"/>
    </row>
    <row r="1001" spans="1:5" ht="15.75" thickBot="1" x14ac:dyDescent="0.3">
      <c r="A1001" s="516" t="s">
        <v>43</v>
      </c>
      <c r="B1001" s="517"/>
      <c r="C1001" s="518"/>
      <c r="D1001" s="179">
        <f>D1000</f>
        <v>3093.630000000001</v>
      </c>
      <c r="E1001" s="5"/>
    </row>
    <row r="1002" spans="1:5" x14ac:dyDescent="0.25">
      <c r="A1002" s="184" t="s">
        <v>269</v>
      </c>
      <c r="B1002" s="185" t="str">
        <f>ORÇAMENTO!D424</f>
        <v>EMASSAMENTO/OLEO/ESQUADRIAS MADEIRA</v>
      </c>
      <c r="C1002" s="208" t="s">
        <v>195</v>
      </c>
      <c r="D1002" s="193" t="s">
        <v>404</v>
      </c>
      <c r="E1002" s="5"/>
    </row>
    <row r="1003" spans="1:5" x14ac:dyDescent="0.25">
      <c r="A1003" s="184"/>
      <c r="B1003" s="181" t="s">
        <v>1125</v>
      </c>
      <c r="C1003" s="208"/>
      <c r="D1003" s="193">
        <f>0.8*2.1</f>
        <v>1.6800000000000002</v>
      </c>
      <c r="E1003" s="5"/>
    </row>
    <row r="1004" spans="1:5" x14ac:dyDescent="0.25">
      <c r="A1004" s="184"/>
      <c r="B1004" s="181" t="s">
        <v>49</v>
      </c>
      <c r="C1004" s="208"/>
      <c r="D1004" s="193">
        <f>13+16</f>
        <v>29</v>
      </c>
      <c r="E1004" s="5"/>
    </row>
    <row r="1005" spans="1:5" x14ac:dyDescent="0.25">
      <c r="A1005" s="184"/>
      <c r="B1005" s="181" t="s">
        <v>1126</v>
      </c>
      <c r="C1005" s="208"/>
      <c r="D1005" s="193">
        <f>0.9*2.1</f>
        <v>1.8900000000000001</v>
      </c>
      <c r="E1005" s="5"/>
    </row>
    <row r="1006" spans="1:5" x14ac:dyDescent="0.25">
      <c r="A1006" s="184"/>
      <c r="B1006" s="181" t="s">
        <v>49</v>
      </c>
      <c r="C1006" s="208"/>
      <c r="D1006" s="193">
        <v>4</v>
      </c>
      <c r="E1006" s="5"/>
    </row>
    <row r="1007" spans="1:5" x14ac:dyDescent="0.25">
      <c r="A1007" s="184"/>
      <c r="B1007" s="181" t="s">
        <v>1127</v>
      </c>
      <c r="C1007" s="208"/>
      <c r="D1007" s="193">
        <f>1*2.1</f>
        <v>2.1</v>
      </c>
      <c r="E1007" s="5"/>
    </row>
    <row r="1008" spans="1:5" x14ac:dyDescent="0.25">
      <c r="A1008" s="184"/>
      <c r="B1008" s="181" t="s">
        <v>49</v>
      </c>
      <c r="C1008" s="208"/>
      <c r="D1008" s="193">
        <v>28</v>
      </c>
      <c r="E1008" s="5"/>
    </row>
    <row r="1009" spans="1:5" x14ac:dyDescent="0.25">
      <c r="A1009" s="184"/>
      <c r="B1009" s="181" t="s">
        <v>1128</v>
      </c>
      <c r="C1009" s="208"/>
      <c r="D1009" s="193">
        <f>0.7*2.1</f>
        <v>1.47</v>
      </c>
      <c r="E1009" s="5"/>
    </row>
    <row r="1010" spans="1:5" x14ac:dyDescent="0.25">
      <c r="A1010" s="184"/>
      <c r="B1010" s="181" t="s">
        <v>49</v>
      </c>
      <c r="C1010" s="208"/>
      <c r="D1010" s="193">
        <v>2</v>
      </c>
      <c r="E1010" s="5"/>
    </row>
    <row r="1011" spans="1:5" ht="15" customHeight="1" thickBot="1" x14ac:dyDescent="0.3">
      <c r="A1011" s="516" t="s">
        <v>374</v>
      </c>
      <c r="B1011" s="517"/>
      <c r="C1011" s="518"/>
      <c r="D1011" s="179">
        <f>((D1003*D1004)+(D1005*D1006)+(D1007*D1008)+(D1009*D1010))*3</f>
        <v>354.06000000000006</v>
      </c>
      <c r="E1011" s="5"/>
    </row>
    <row r="1012" spans="1:5" x14ac:dyDescent="0.25">
      <c r="A1012" s="184" t="s">
        <v>270</v>
      </c>
      <c r="B1012" s="185" t="str">
        <f>ORÇAMENTO!D425</f>
        <v>PINTURA ESMALTE SINTETICO 2 DEMÃOS EM ESQ. MADEIRA</v>
      </c>
      <c r="C1012" s="186" t="s">
        <v>195</v>
      </c>
      <c r="D1012" s="193" t="s">
        <v>405</v>
      </c>
      <c r="E1012" s="5"/>
    </row>
    <row r="1013" spans="1:5" x14ac:dyDescent="0.25">
      <c r="A1013" s="176"/>
      <c r="B1013" s="181" t="s">
        <v>1292</v>
      </c>
      <c r="C1013" s="207" t="s">
        <v>195</v>
      </c>
      <c r="D1013" s="193">
        <f>D1011</f>
        <v>354.06000000000006</v>
      </c>
      <c r="E1013" s="5"/>
    </row>
    <row r="1014" spans="1:5" ht="15.75" thickBot="1" x14ac:dyDescent="0.3">
      <c r="A1014" s="516" t="s">
        <v>8</v>
      </c>
      <c r="B1014" s="517"/>
      <c r="C1014" s="518"/>
      <c r="D1014" s="179">
        <f>D1013</f>
        <v>354.06000000000006</v>
      </c>
      <c r="E1014" s="5"/>
    </row>
    <row r="1015" spans="1:5" x14ac:dyDescent="0.25">
      <c r="A1015" s="184" t="s">
        <v>1291</v>
      </c>
      <c r="B1015" s="185" t="str">
        <f>ORÇAMENTO!D426</f>
        <v>PINT.ESMALTE/ESQUAD.FERRO C/FUNDO ANTICOR.</v>
      </c>
      <c r="C1015" s="186" t="s">
        <v>195</v>
      </c>
      <c r="D1015" s="193" t="s">
        <v>1285</v>
      </c>
      <c r="E1015" s="5"/>
    </row>
    <row r="1016" spans="1:5" x14ac:dyDescent="0.25">
      <c r="A1016" s="184"/>
      <c r="B1016" s="181" t="s">
        <v>1130</v>
      </c>
      <c r="C1016" s="250" t="s">
        <v>195</v>
      </c>
      <c r="D1016" s="193">
        <f>D678*3</f>
        <v>82.350000000000009</v>
      </c>
      <c r="E1016" s="5"/>
    </row>
    <row r="1017" spans="1:5" x14ac:dyDescent="0.25">
      <c r="A1017" s="184"/>
      <c r="B1017" s="181" t="s">
        <v>1131</v>
      </c>
      <c r="C1017" s="250" t="s">
        <v>195</v>
      </c>
      <c r="D1017" s="193">
        <f>D681*3</f>
        <v>12.600000000000001</v>
      </c>
      <c r="E1017" s="5"/>
    </row>
    <row r="1018" spans="1:5" x14ac:dyDescent="0.25">
      <c r="A1018" s="184"/>
      <c r="B1018" s="181" t="s">
        <v>1132</v>
      </c>
      <c r="C1018" s="250" t="s">
        <v>195</v>
      </c>
      <c r="D1018" s="193">
        <f>D685*3</f>
        <v>108</v>
      </c>
      <c r="E1018" s="5"/>
    </row>
    <row r="1019" spans="1:5" x14ac:dyDescent="0.25">
      <c r="A1019" s="184"/>
      <c r="B1019" s="181" t="s">
        <v>1133</v>
      </c>
      <c r="C1019" s="250" t="s">
        <v>195</v>
      </c>
      <c r="D1019" s="193">
        <f>D692*3</f>
        <v>63</v>
      </c>
      <c r="E1019" s="5"/>
    </row>
    <row r="1020" spans="1:5" x14ac:dyDescent="0.25">
      <c r="A1020" s="184"/>
      <c r="B1020" s="181" t="s">
        <v>1134</v>
      </c>
      <c r="C1020" s="250" t="s">
        <v>195</v>
      </c>
      <c r="D1020" s="193">
        <f>D695</f>
        <v>2.1</v>
      </c>
      <c r="E1020" s="5"/>
    </row>
    <row r="1021" spans="1:5" x14ac:dyDescent="0.25">
      <c r="A1021" s="184"/>
      <c r="B1021" s="181" t="s">
        <v>1135</v>
      </c>
      <c r="C1021" s="250" t="s">
        <v>195</v>
      </c>
      <c r="D1021" s="193">
        <f>D701*2</f>
        <v>160.32</v>
      </c>
      <c r="E1021" s="5"/>
    </row>
    <row r="1022" spans="1:5" x14ac:dyDescent="0.25">
      <c r="A1022" s="184"/>
      <c r="B1022" s="181" t="s">
        <v>1136</v>
      </c>
      <c r="C1022" s="250" t="s">
        <v>195</v>
      </c>
      <c r="D1022" s="193">
        <f>D704*2</f>
        <v>45</v>
      </c>
      <c r="E1022" s="5"/>
    </row>
    <row r="1023" spans="1:5" ht="15" customHeight="1" thickBot="1" x14ac:dyDescent="0.3">
      <c r="A1023" s="516" t="s">
        <v>8</v>
      </c>
      <c r="B1023" s="517"/>
      <c r="C1023" s="518"/>
      <c r="D1023" s="251">
        <f>SUM(D1016:D1022)</f>
        <v>473.37000000000006</v>
      </c>
      <c r="E1023" s="5"/>
    </row>
    <row r="1024" spans="1:5" ht="15.75" thickBot="1" x14ac:dyDescent="0.3">
      <c r="A1024" s="169">
        <f>ORÇAMENTO!A429</f>
        <v>24</v>
      </c>
      <c r="B1024" s="170" t="s">
        <v>42</v>
      </c>
      <c r="C1024" s="171"/>
      <c r="D1024" s="171"/>
      <c r="E1024" s="5"/>
    </row>
    <row r="1025" spans="1:5" ht="15.75" thickBot="1" x14ac:dyDescent="0.3">
      <c r="A1025" s="172" t="s">
        <v>2</v>
      </c>
      <c r="B1025" s="172" t="s">
        <v>316</v>
      </c>
      <c r="C1025" s="172" t="s">
        <v>317</v>
      </c>
      <c r="D1025" s="172" t="s">
        <v>318</v>
      </c>
      <c r="E1025" s="5"/>
    </row>
    <row r="1026" spans="1:5" s="89" customFormat="1" x14ac:dyDescent="0.25">
      <c r="A1026" s="186" t="str">
        <f>ORÇAMENTO!A430</f>
        <v>24.1</v>
      </c>
      <c r="B1026" s="252" t="str">
        <f>ORÇAMENTO!D430</f>
        <v>PLANTIO GRAMA ESMERALDA PLACA C/ M.O. IRRIG., ADUBO,TERRA VEGETAL (O.C.) A&lt;11.000,00M2</v>
      </c>
      <c r="C1026" s="186" t="s">
        <v>195</v>
      </c>
      <c r="D1026" s="193" t="s">
        <v>409</v>
      </c>
    </row>
    <row r="1027" spans="1:5" x14ac:dyDescent="0.25">
      <c r="A1027" s="184"/>
      <c r="B1027" s="181" t="s">
        <v>1293</v>
      </c>
      <c r="C1027" s="207" t="s">
        <v>195</v>
      </c>
      <c r="D1027" s="193">
        <v>1306.29</v>
      </c>
      <c r="E1027" s="5"/>
    </row>
    <row r="1028" spans="1:5" ht="15.75" thickBot="1" x14ac:dyDescent="0.3">
      <c r="A1028" s="516" t="s">
        <v>8</v>
      </c>
      <c r="B1028" s="517"/>
      <c r="C1028" s="518"/>
      <c r="D1028" s="179">
        <f>D1027</f>
        <v>1306.29</v>
      </c>
      <c r="E1028" s="5"/>
    </row>
    <row r="1029" spans="1:5" ht="24.75" x14ac:dyDescent="0.25">
      <c r="A1029" s="184" t="str">
        <f>ORÇAMENTO!A431</f>
        <v>24.2</v>
      </c>
      <c r="B1029" s="252" t="s">
        <v>1377</v>
      </c>
      <c r="C1029" s="186" t="s">
        <v>195</v>
      </c>
      <c r="D1029" s="193" t="s">
        <v>408</v>
      </c>
      <c r="E1029" s="5"/>
    </row>
    <row r="1030" spans="1:5" x14ac:dyDescent="0.25">
      <c r="A1030" s="184" t="s">
        <v>367</v>
      </c>
      <c r="B1030" s="181" t="s">
        <v>406</v>
      </c>
      <c r="C1030" s="207" t="s">
        <v>108</v>
      </c>
      <c r="D1030" s="193">
        <v>178.11</v>
      </c>
      <c r="E1030" s="5"/>
    </row>
    <row r="1031" spans="1:5" x14ac:dyDescent="0.25">
      <c r="A1031" s="184" t="s">
        <v>368</v>
      </c>
      <c r="B1031" s="181" t="s">
        <v>407</v>
      </c>
      <c r="C1031" s="207" t="s">
        <v>108</v>
      </c>
      <c r="D1031" s="193">
        <v>2.5</v>
      </c>
      <c r="E1031" s="5"/>
    </row>
    <row r="1032" spans="1:5" ht="15.75" thickBot="1" x14ac:dyDescent="0.3">
      <c r="A1032" s="516" t="s">
        <v>816</v>
      </c>
      <c r="B1032" s="517"/>
      <c r="C1032" s="518"/>
      <c r="D1032" s="179">
        <f>D1031*D1030</f>
        <v>445.27500000000003</v>
      </c>
      <c r="E1032" s="5"/>
    </row>
    <row r="1033" spans="1:5" x14ac:dyDescent="0.25">
      <c r="A1033" s="184" t="s">
        <v>992</v>
      </c>
      <c r="B1033" s="248" t="s">
        <v>297</v>
      </c>
      <c r="C1033" s="186" t="s">
        <v>195</v>
      </c>
      <c r="D1033" s="193" t="s">
        <v>409</v>
      </c>
      <c r="E1033" s="5"/>
    </row>
    <row r="1034" spans="1:5" x14ac:dyDescent="0.25">
      <c r="A1034" s="184"/>
      <c r="B1034" s="181" t="s">
        <v>799</v>
      </c>
      <c r="C1034" s="207" t="s">
        <v>195</v>
      </c>
      <c r="D1034" s="193">
        <v>342.81</v>
      </c>
      <c r="E1034" s="5"/>
    </row>
    <row r="1035" spans="1:5" x14ac:dyDescent="0.25">
      <c r="A1035" s="184"/>
      <c r="B1035" s="181" t="s">
        <v>800</v>
      </c>
      <c r="C1035" s="207"/>
      <c r="D1035" s="193">
        <v>320.52</v>
      </c>
      <c r="E1035" s="5"/>
    </row>
    <row r="1036" spans="1:5" ht="15.75" thickBot="1" x14ac:dyDescent="0.3">
      <c r="A1036" s="516" t="s">
        <v>8</v>
      </c>
      <c r="B1036" s="517"/>
      <c r="C1036" s="518"/>
      <c r="D1036" s="179">
        <f>SUM(D1034:D1035)</f>
        <v>663.32999999999993</v>
      </c>
      <c r="E1036" s="5"/>
    </row>
    <row r="1037" spans="1:5" x14ac:dyDescent="0.25">
      <c r="A1037" s="184" t="s">
        <v>993</v>
      </c>
      <c r="B1037" s="185" t="s">
        <v>410</v>
      </c>
      <c r="C1037" s="186" t="s">
        <v>195</v>
      </c>
      <c r="D1037" s="193" t="s">
        <v>412</v>
      </c>
      <c r="E1037" s="5"/>
    </row>
    <row r="1038" spans="1:5" ht="15" customHeight="1" x14ac:dyDescent="0.25">
      <c r="A1038" s="184"/>
      <c r="B1038" s="181" t="s">
        <v>411</v>
      </c>
      <c r="C1038" s="207" t="s">
        <v>195</v>
      </c>
      <c r="D1038" s="193">
        <f>D28</f>
        <v>1043.0999999999999</v>
      </c>
      <c r="E1038" s="5"/>
    </row>
    <row r="1039" spans="1:5" ht="15.75" thickBot="1" x14ac:dyDescent="0.3">
      <c r="A1039" s="516" t="s">
        <v>8</v>
      </c>
      <c r="B1039" s="517"/>
      <c r="C1039" s="518"/>
      <c r="D1039" s="179">
        <f>D1038</f>
        <v>1043.0999999999999</v>
      </c>
      <c r="E1039" s="5"/>
    </row>
    <row r="1040" spans="1:5" x14ac:dyDescent="0.25">
      <c r="A1040" s="184" t="s">
        <v>994</v>
      </c>
      <c r="B1040" s="248" t="s">
        <v>440</v>
      </c>
      <c r="C1040" s="186" t="s">
        <v>195</v>
      </c>
      <c r="D1040" s="193" t="s">
        <v>380</v>
      </c>
      <c r="E1040" s="5"/>
    </row>
    <row r="1041" spans="1:5" x14ac:dyDescent="0.25">
      <c r="A1041" s="184"/>
      <c r="B1041" s="181" t="s">
        <v>413</v>
      </c>
      <c r="C1041" s="207" t="s">
        <v>195</v>
      </c>
      <c r="D1041" s="193">
        <f>0.6*0.8</f>
        <v>0.48</v>
      </c>
      <c r="E1041" s="5"/>
    </row>
    <row r="1042" spans="1:5" ht="15.75" thickBot="1" x14ac:dyDescent="0.3">
      <c r="A1042" s="516" t="s">
        <v>8</v>
      </c>
      <c r="B1042" s="517"/>
      <c r="C1042" s="518"/>
      <c r="D1042" s="179">
        <f>D1041</f>
        <v>0.48</v>
      </c>
      <c r="E1042" s="5"/>
    </row>
    <row r="1043" spans="1:5" x14ac:dyDescent="0.25">
      <c r="A1043" s="184" t="s">
        <v>995</v>
      </c>
      <c r="B1043" s="248" t="s">
        <v>441</v>
      </c>
      <c r="C1043" s="186" t="s">
        <v>375</v>
      </c>
      <c r="D1043" s="193" t="s">
        <v>815</v>
      </c>
      <c r="E1043" s="5"/>
    </row>
    <row r="1044" spans="1:5" x14ac:dyDescent="0.25">
      <c r="A1044" s="184"/>
      <c r="B1044" s="181" t="s">
        <v>803</v>
      </c>
      <c r="C1044" s="182" t="s">
        <v>375</v>
      </c>
      <c r="D1044" s="193">
        <v>2</v>
      </c>
      <c r="E1044" s="5"/>
    </row>
    <row r="1045" spans="1:5" x14ac:dyDescent="0.25">
      <c r="A1045" s="184"/>
      <c r="B1045" s="181" t="s">
        <v>804</v>
      </c>
      <c r="C1045" s="182" t="s">
        <v>375</v>
      </c>
      <c r="D1045" s="193">
        <v>2</v>
      </c>
      <c r="E1045" s="5"/>
    </row>
    <row r="1046" spans="1:5" x14ac:dyDescent="0.25">
      <c r="A1046" s="184"/>
      <c r="B1046" s="181" t="s">
        <v>805</v>
      </c>
      <c r="C1046" s="182" t="s">
        <v>375</v>
      </c>
      <c r="D1046" s="193">
        <v>2</v>
      </c>
      <c r="E1046" s="5"/>
    </row>
    <row r="1047" spans="1:5" x14ac:dyDescent="0.25">
      <c r="A1047" s="184"/>
      <c r="B1047" s="181" t="s">
        <v>806</v>
      </c>
      <c r="C1047" s="182" t="s">
        <v>375</v>
      </c>
      <c r="D1047" s="193">
        <v>4</v>
      </c>
      <c r="E1047" s="5"/>
    </row>
    <row r="1048" spans="1:5" x14ac:dyDescent="0.25">
      <c r="A1048" s="184"/>
      <c r="B1048" s="181" t="s">
        <v>807</v>
      </c>
      <c r="C1048" s="182" t="s">
        <v>375</v>
      </c>
      <c r="D1048" s="193">
        <v>2</v>
      </c>
      <c r="E1048" s="5"/>
    </row>
    <row r="1049" spans="1:5" x14ac:dyDescent="0.25">
      <c r="A1049" s="184"/>
      <c r="B1049" s="181" t="s">
        <v>808</v>
      </c>
      <c r="C1049" s="182" t="s">
        <v>375</v>
      </c>
      <c r="D1049" s="193">
        <v>3</v>
      </c>
      <c r="E1049" s="5"/>
    </row>
    <row r="1050" spans="1:5" x14ac:dyDescent="0.25">
      <c r="A1050" s="184"/>
      <c r="B1050" s="181" t="s">
        <v>636</v>
      </c>
      <c r="C1050" s="182" t="s">
        <v>375</v>
      </c>
      <c r="D1050" s="193">
        <v>3</v>
      </c>
      <c r="E1050" s="5"/>
    </row>
    <row r="1051" spans="1:5" x14ac:dyDescent="0.25">
      <c r="A1051" s="184"/>
      <c r="B1051" s="181" t="s">
        <v>637</v>
      </c>
      <c r="C1051" s="182" t="s">
        <v>375</v>
      </c>
      <c r="D1051" s="193">
        <v>2</v>
      </c>
      <c r="E1051" s="5"/>
    </row>
    <row r="1052" spans="1:5" x14ac:dyDescent="0.25">
      <c r="A1052" s="184"/>
      <c r="B1052" s="181" t="s">
        <v>638</v>
      </c>
      <c r="C1052" s="182" t="s">
        <v>375</v>
      </c>
      <c r="D1052" s="193">
        <v>3</v>
      </c>
      <c r="E1052" s="5"/>
    </row>
    <row r="1053" spans="1:5" x14ac:dyDescent="0.25">
      <c r="A1053" s="184"/>
      <c r="B1053" s="181" t="s">
        <v>639</v>
      </c>
      <c r="C1053" s="182" t="s">
        <v>375</v>
      </c>
      <c r="D1053" s="193">
        <v>3</v>
      </c>
      <c r="E1053" s="5"/>
    </row>
    <row r="1054" spans="1:5" x14ac:dyDescent="0.25">
      <c r="A1054" s="184"/>
      <c r="B1054" s="181" t="s">
        <v>640</v>
      </c>
      <c r="C1054" s="182" t="s">
        <v>375</v>
      </c>
      <c r="D1054" s="193">
        <v>3</v>
      </c>
      <c r="E1054" s="5"/>
    </row>
    <row r="1055" spans="1:5" x14ac:dyDescent="0.25">
      <c r="A1055" s="184"/>
      <c r="B1055" s="181" t="s">
        <v>809</v>
      </c>
      <c r="C1055" s="182" t="s">
        <v>375</v>
      </c>
      <c r="D1055" s="193">
        <v>2</v>
      </c>
      <c r="E1055" s="5"/>
    </row>
    <row r="1056" spans="1:5" x14ac:dyDescent="0.25">
      <c r="A1056" s="184"/>
      <c r="B1056" s="181" t="s">
        <v>810</v>
      </c>
      <c r="C1056" s="182" t="s">
        <v>375</v>
      </c>
      <c r="D1056" s="193">
        <v>2</v>
      </c>
      <c r="E1056" s="5"/>
    </row>
    <row r="1057" spans="1:5" x14ac:dyDescent="0.25">
      <c r="A1057" s="184"/>
      <c r="B1057" s="181" t="s">
        <v>648</v>
      </c>
      <c r="C1057" s="182" t="s">
        <v>375</v>
      </c>
      <c r="D1057" s="193">
        <v>2</v>
      </c>
      <c r="E1057" s="5"/>
    </row>
    <row r="1058" spans="1:5" x14ac:dyDescent="0.25">
      <c r="A1058" s="184"/>
      <c r="B1058" s="181" t="s">
        <v>649</v>
      </c>
      <c r="C1058" s="182" t="s">
        <v>375</v>
      </c>
      <c r="D1058" s="193">
        <v>2</v>
      </c>
      <c r="E1058" s="5"/>
    </row>
    <row r="1059" spans="1:5" x14ac:dyDescent="0.25">
      <c r="A1059" s="184"/>
      <c r="B1059" s="181" t="s">
        <v>650</v>
      </c>
      <c r="C1059" s="182" t="s">
        <v>375</v>
      </c>
      <c r="D1059" s="193">
        <v>3</v>
      </c>
      <c r="E1059" s="5"/>
    </row>
    <row r="1060" spans="1:5" x14ac:dyDescent="0.25">
      <c r="A1060" s="184"/>
      <c r="B1060" s="181" t="s">
        <v>651</v>
      </c>
      <c r="C1060" s="182" t="s">
        <v>375</v>
      </c>
      <c r="D1060" s="193">
        <v>3</v>
      </c>
      <c r="E1060" s="5"/>
    </row>
    <row r="1061" spans="1:5" x14ac:dyDescent="0.25">
      <c r="A1061" s="184"/>
      <c r="B1061" s="181" t="s">
        <v>811</v>
      </c>
      <c r="C1061" s="182" t="s">
        <v>375</v>
      </c>
      <c r="D1061" s="193">
        <v>4</v>
      </c>
      <c r="E1061" s="5"/>
    </row>
    <row r="1062" spans="1:5" x14ac:dyDescent="0.25">
      <c r="A1062" s="184"/>
      <c r="B1062" s="181" t="s">
        <v>812</v>
      </c>
      <c r="C1062" s="182" t="s">
        <v>375</v>
      </c>
      <c r="D1062" s="193">
        <v>2</v>
      </c>
      <c r="E1062" s="5"/>
    </row>
    <row r="1063" spans="1:5" x14ac:dyDescent="0.25">
      <c r="A1063" s="184"/>
      <c r="B1063" s="181" t="s">
        <v>813</v>
      </c>
      <c r="C1063" s="182" t="s">
        <v>375</v>
      </c>
      <c r="D1063" s="193">
        <v>2</v>
      </c>
      <c r="E1063" s="5"/>
    </row>
    <row r="1064" spans="1:5" x14ac:dyDescent="0.25">
      <c r="A1064" s="184"/>
      <c r="B1064" s="181" t="s">
        <v>814</v>
      </c>
      <c r="C1064" s="182" t="s">
        <v>375</v>
      </c>
      <c r="D1064" s="193">
        <v>2</v>
      </c>
      <c r="E1064" s="5"/>
    </row>
    <row r="1065" spans="1:5" ht="15.75" thickBot="1" x14ac:dyDescent="0.3">
      <c r="A1065" s="516" t="s">
        <v>8</v>
      </c>
      <c r="B1065" s="517"/>
      <c r="C1065" s="518"/>
      <c r="D1065" s="179">
        <f>SUM(D1044:D1064)</f>
        <v>53</v>
      </c>
      <c r="E1065" s="5"/>
    </row>
    <row r="1066" spans="1:5" x14ac:dyDescent="0.25">
      <c r="A1066" s="184" t="str">
        <f>ORÇAMENTO!A436</f>
        <v>24.7</v>
      </c>
      <c r="B1066" s="248" t="str">
        <f>ORÇAMENTO!D436</f>
        <v>BANCADA DE GRANITINA</v>
      </c>
      <c r="C1066" s="186" t="s">
        <v>195</v>
      </c>
      <c r="D1066" s="193" t="s">
        <v>412</v>
      </c>
      <c r="E1066" s="5"/>
    </row>
    <row r="1067" spans="1:5" x14ac:dyDescent="0.25">
      <c r="A1067" s="184"/>
      <c r="B1067" s="181" t="s">
        <v>803</v>
      </c>
      <c r="C1067" s="182" t="s">
        <v>195</v>
      </c>
      <c r="D1067" s="193">
        <v>0.6</v>
      </c>
      <c r="E1067" s="5"/>
    </row>
    <row r="1068" spans="1:5" x14ac:dyDescent="0.25">
      <c r="A1068" s="184"/>
      <c r="B1068" s="181" t="s">
        <v>804</v>
      </c>
      <c r="C1068" s="207" t="s">
        <v>195</v>
      </c>
      <c r="D1068" s="193">
        <v>0.84</v>
      </c>
      <c r="E1068" s="5"/>
    </row>
    <row r="1069" spans="1:5" x14ac:dyDescent="0.25">
      <c r="A1069" s="184"/>
      <c r="B1069" s="181" t="s">
        <v>805</v>
      </c>
      <c r="C1069" s="182" t="s">
        <v>195</v>
      </c>
      <c r="D1069" s="193">
        <v>0.95</v>
      </c>
      <c r="E1069" s="5"/>
    </row>
    <row r="1070" spans="1:5" x14ac:dyDescent="0.25">
      <c r="A1070" s="184"/>
      <c r="B1070" s="181" t="s">
        <v>806</v>
      </c>
      <c r="C1070" s="207" t="s">
        <v>195</v>
      </c>
      <c r="D1070" s="193">
        <v>2.67</v>
      </c>
      <c r="E1070" s="5"/>
    </row>
    <row r="1071" spans="1:5" x14ac:dyDescent="0.25">
      <c r="A1071" s="184"/>
      <c r="B1071" s="181" t="s">
        <v>807</v>
      </c>
      <c r="C1071" s="182" t="s">
        <v>195</v>
      </c>
      <c r="D1071" s="193">
        <v>0.78</v>
      </c>
      <c r="E1071" s="5"/>
    </row>
    <row r="1072" spans="1:5" x14ac:dyDescent="0.25">
      <c r="A1072" s="184"/>
      <c r="B1072" s="181" t="s">
        <v>808</v>
      </c>
      <c r="C1072" s="207" t="s">
        <v>195</v>
      </c>
      <c r="D1072" s="193">
        <v>1.86</v>
      </c>
      <c r="E1072" s="5"/>
    </row>
    <row r="1073" spans="1:5" x14ac:dyDescent="0.25">
      <c r="A1073" s="184"/>
      <c r="B1073" s="181" t="s">
        <v>636</v>
      </c>
      <c r="C1073" s="182" t="s">
        <v>195</v>
      </c>
      <c r="D1073" s="193">
        <v>1.5</v>
      </c>
      <c r="E1073" s="5"/>
    </row>
    <row r="1074" spans="1:5" x14ac:dyDescent="0.25">
      <c r="A1074" s="184"/>
      <c r="B1074" s="181" t="s">
        <v>637</v>
      </c>
      <c r="C1074" s="207" t="s">
        <v>195</v>
      </c>
      <c r="D1074" s="193">
        <v>1</v>
      </c>
      <c r="E1074" s="5"/>
    </row>
    <row r="1075" spans="1:5" x14ac:dyDescent="0.25">
      <c r="A1075" s="184"/>
      <c r="B1075" s="181" t="s">
        <v>638</v>
      </c>
      <c r="C1075" s="182" t="s">
        <v>195</v>
      </c>
      <c r="D1075" s="193">
        <v>1.53</v>
      </c>
      <c r="E1075" s="5"/>
    </row>
    <row r="1076" spans="1:5" x14ac:dyDescent="0.25">
      <c r="A1076" s="184"/>
      <c r="B1076" s="181" t="s">
        <v>639</v>
      </c>
      <c r="C1076" s="207" t="s">
        <v>195</v>
      </c>
      <c r="D1076" s="193">
        <v>1.53</v>
      </c>
      <c r="E1076" s="5"/>
    </row>
    <row r="1077" spans="1:5" x14ac:dyDescent="0.25">
      <c r="A1077" s="184"/>
      <c r="B1077" s="181" t="s">
        <v>640</v>
      </c>
      <c r="C1077" s="182" t="s">
        <v>195</v>
      </c>
      <c r="D1077" s="193">
        <v>1.47</v>
      </c>
      <c r="E1077" s="5"/>
    </row>
    <row r="1078" spans="1:5" x14ac:dyDescent="0.25">
      <c r="A1078" s="184"/>
      <c r="B1078" s="181" t="s">
        <v>809</v>
      </c>
      <c r="C1078" s="207" t="s">
        <v>195</v>
      </c>
      <c r="D1078" s="193">
        <v>0.55000000000000004</v>
      </c>
      <c r="E1078" s="5"/>
    </row>
    <row r="1079" spans="1:5" x14ac:dyDescent="0.25">
      <c r="A1079" s="184"/>
      <c r="B1079" s="181" t="s">
        <v>810</v>
      </c>
      <c r="C1079" s="182" t="s">
        <v>195</v>
      </c>
      <c r="D1079" s="193">
        <v>1.23</v>
      </c>
      <c r="E1079" s="5"/>
    </row>
    <row r="1080" spans="1:5" x14ac:dyDescent="0.25">
      <c r="A1080" s="184"/>
      <c r="B1080" s="181" t="s">
        <v>648</v>
      </c>
      <c r="C1080" s="207" t="s">
        <v>195</v>
      </c>
      <c r="D1080" s="193">
        <v>1</v>
      </c>
      <c r="E1080" s="5"/>
    </row>
    <row r="1081" spans="1:5" x14ac:dyDescent="0.25">
      <c r="A1081" s="184"/>
      <c r="B1081" s="181" t="s">
        <v>649</v>
      </c>
      <c r="C1081" s="182" t="s">
        <v>195</v>
      </c>
      <c r="D1081" s="193">
        <v>1</v>
      </c>
      <c r="E1081" s="5"/>
    </row>
    <row r="1082" spans="1:5" x14ac:dyDescent="0.25">
      <c r="A1082" s="184"/>
      <c r="B1082" s="181" t="s">
        <v>650</v>
      </c>
      <c r="C1082" s="207" t="s">
        <v>195</v>
      </c>
      <c r="D1082" s="193">
        <v>1.22</v>
      </c>
      <c r="E1082" s="5"/>
    </row>
    <row r="1083" spans="1:5" x14ac:dyDescent="0.25">
      <c r="A1083" s="184"/>
      <c r="B1083" s="181" t="s">
        <v>651</v>
      </c>
      <c r="C1083" s="207" t="s">
        <v>195</v>
      </c>
      <c r="D1083" s="193">
        <v>1.3</v>
      </c>
      <c r="E1083" s="5"/>
    </row>
    <row r="1084" spans="1:5" x14ac:dyDescent="0.25">
      <c r="A1084" s="184"/>
      <c r="B1084" s="181" t="s">
        <v>811</v>
      </c>
      <c r="C1084" s="207" t="s">
        <v>195</v>
      </c>
      <c r="D1084" s="193">
        <v>1.62</v>
      </c>
      <c r="E1084" s="5"/>
    </row>
    <row r="1085" spans="1:5" x14ac:dyDescent="0.25">
      <c r="A1085" s="184"/>
      <c r="B1085" s="181" t="s">
        <v>812</v>
      </c>
      <c r="C1085" s="207" t="s">
        <v>195</v>
      </c>
      <c r="D1085" s="193">
        <v>0.6</v>
      </c>
      <c r="E1085" s="5"/>
    </row>
    <row r="1086" spans="1:5" x14ac:dyDescent="0.25">
      <c r="A1086" s="184"/>
      <c r="B1086" s="181" t="s">
        <v>813</v>
      </c>
      <c r="C1086" s="207" t="s">
        <v>195</v>
      </c>
      <c r="D1086" s="193">
        <v>0.6</v>
      </c>
      <c r="E1086" s="5"/>
    </row>
    <row r="1087" spans="1:5" x14ac:dyDescent="0.25">
      <c r="A1087" s="184"/>
      <c r="B1087" s="181" t="s">
        <v>814</v>
      </c>
      <c r="C1087" s="207" t="s">
        <v>195</v>
      </c>
      <c r="D1087" s="193">
        <v>0.55000000000000004</v>
      </c>
      <c r="E1087" s="5"/>
    </row>
    <row r="1088" spans="1:5" ht="15.75" thickBot="1" x14ac:dyDescent="0.3">
      <c r="A1088" s="516" t="s">
        <v>8</v>
      </c>
      <c r="B1088" s="517"/>
      <c r="C1088" s="518"/>
      <c r="D1088" s="179">
        <f>SUM(D1067:D1087)</f>
        <v>24.400000000000002</v>
      </c>
      <c r="E1088" s="5"/>
    </row>
    <row r="1089" spans="1:5" x14ac:dyDescent="0.25">
      <c r="A1089" s="184" t="str">
        <f>ORÇAMENTO!A437</f>
        <v>24.8</v>
      </c>
      <c r="B1089" s="248" t="s">
        <v>442</v>
      </c>
      <c r="C1089" s="186" t="s">
        <v>108</v>
      </c>
      <c r="D1089" s="193" t="s">
        <v>414</v>
      </c>
      <c r="E1089" s="5"/>
    </row>
    <row r="1090" spans="1:5" x14ac:dyDescent="0.25">
      <c r="A1090" s="184"/>
      <c r="B1090" s="181" t="s">
        <v>1294</v>
      </c>
      <c r="C1090" s="207" t="s">
        <v>108</v>
      </c>
      <c r="D1090" s="193">
        <f>0.6*7</f>
        <v>4.2</v>
      </c>
      <c r="E1090" s="5"/>
    </row>
    <row r="1091" spans="1:5" x14ac:dyDescent="0.25">
      <c r="A1091" s="240"/>
      <c r="B1091" s="181" t="s">
        <v>1295</v>
      </c>
      <c r="C1091" s="207" t="s">
        <v>108</v>
      </c>
      <c r="D1091" s="193">
        <f>45*0.38</f>
        <v>17.100000000000001</v>
      </c>
      <c r="E1091" s="5"/>
    </row>
    <row r="1092" spans="1:5" ht="15.75" thickBot="1" x14ac:dyDescent="0.3">
      <c r="A1092" s="516" t="s">
        <v>8</v>
      </c>
      <c r="B1092" s="517"/>
      <c r="C1092" s="518"/>
      <c r="D1092" s="179">
        <f>D1090+D1091</f>
        <v>21.3</v>
      </c>
      <c r="E1092" s="5"/>
    </row>
    <row r="1093" spans="1:5" x14ac:dyDescent="0.25">
      <c r="A1093" s="184" t="s">
        <v>998</v>
      </c>
      <c r="B1093" s="248" t="str">
        <f>ORÇAMENTO!D438</f>
        <v>TELA SOLDADA Q138</v>
      </c>
      <c r="C1093" s="186" t="str">
        <f>ORÇAMENTO!F438</f>
        <v>m2</v>
      </c>
      <c r="D1093" s="193" t="s">
        <v>1297</v>
      </c>
      <c r="E1093" s="5"/>
    </row>
    <row r="1094" spans="1:5" x14ac:dyDescent="0.25">
      <c r="A1094" s="184"/>
      <c r="B1094" s="181" t="s">
        <v>1296</v>
      </c>
      <c r="C1094" s="207" t="s">
        <v>195</v>
      </c>
      <c r="D1094" s="193">
        <f>D900</f>
        <v>410.13</v>
      </c>
      <c r="E1094" s="5"/>
    </row>
    <row r="1095" spans="1:5" ht="15.75" thickBot="1" x14ac:dyDescent="0.3">
      <c r="A1095" s="516" t="s">
        <v>8</v>
      </c>
      <c r="B1095" s="517"/>
      <c r="C1095" s="518"/>
      <c r="D1095" s="179">
        <f>D1094</f>
        <v>410.13</v>
      </c>
      <c r="E1095" s="5"/>
    </row>
    <row r="1096" spans="1:5" s="94" customFormat="1" ht="24.75" x14ac:dyDescent="0.25">
      <c r="A1096" s="184" t="str">
        <f>ORÇAMENTO!A439</f>
        <v>24.10</v>
      </c>
      <c r="B1096" s="252" t="s">
        <v>1469</v>
      </c>
      <c r="C1096" s="186" t="s">
        <v>108</v>
      </c>
      <c r="D1096" s="193" t="s">
        <v>827</v>
      </c>
    </row>
    <row r="1097" spans="1:5" s="94" customFormat="1" x14ac:dyDescent="0.25">
      <c r="A1097" s="184"/>
      <c r="B1097" s="181" t="s">
        <v>1470</v>
      </c>
      <c r="C1097" s="207" t="s">
        <v>108</v>
      </c>
      <c r="D1097" s="193">
        <f>(24*1)+(18*2)+(17*0.8)+(10*1.2)</f>
        <v>85.6</v>
      </c>
    </row>
    <row r="1098" spans="1:5" s="94" customFormat="1" ht="15.75" thickBot="1" x14ac:dyDescent="0.3">
      <c r="A1098" s="516" t="s">
        <v>8</v>
      </c>
      <c r="B1098" s="517"/>
      <c r="C1098" s="518"/>
      <c r="D1098" s="179">
        <f>SUM(D1097:D1097)</f>
        <v>85.6</v>
      </c>
    </row>
    <row r="1099" spans="1:5" s="94" customFormat="1" x14ac:dyDescent="0.25">
      <c r="A1099" s="184" t="str">
        <f>ORÇAMENTO!A440</f>
        <v>24.11</v>
      </c>
      <c r="B1099" s="252" t="s">
        <v>1473</v>
      </c>
      <c r="C1099" s="186" t="s">
        <v>108</v>
      </c>
      <c r="D1099" s="193" t="s">
        <v>827</v>
      </c>
    </row>
    <row r="1100" spans="1:5" s="94" customFormat="1" x14ac:dyDescent="0.25">
      <c r="A1100" s="184" t="s">
        <v>367</v>
      </c>
      <c r="B1100" s="181" t="s">
        <v>1474</v>
      </c>
      <c r="C1100" s="207" t="s">
        <v>278</v>
      </c>
      <c r="D1100" s="193">
        <v>4</v>
      </c>
    </row>
    <row r="1101" spans="1:5" s="94" customFormat="1" x14ac:dyDescent="0.25">
      <c r="A1101" s="184" t="s">
        <v>368</v>
      </c>
      <c r="B1101" s="181" t="s">
        <v>1475</v>
      </c>
      <c r="C1101" s="207" t="s">
        <v>108</v>
      </c>
      <c r="D1101" s="193">
        <v>4.8</v>
      </c>
    </row>
    <row r="1102" spans="1:5" s="94" customFormat="1" ht="15.75" thickBot="1" x14ac:dyDescent="0.3">
      <c r="A1102" s="516" t="s">
        <v>1374</v>
      </c>
      <c r="B1102" s="517"/>
      <c r="C1102" s="518"/>
      <c r="D1102" s="179">
        <f>D1101*D1100</f>
        <v>19.2</v>
      </c>
    </row>
    <row r="1103" spans="1:5" ht="15.75" thickBot="1" x14ac:dyDescent="0.3">
      <c r="A1103" s="169">
        <f>ORÇAMENTO!A443</f>
        <v>25</v>
      </c>
      <c r="B1103" s="170" t="str">
        <f>ORÇAMENTO!D443</f>
        <v>PAVIMENTAÇÃO URBANA*</v>
      </c>
      <c r="C1103" s="171"/>
      <c r="D1103" s="171"/>
      <c r="E1103" s="5"/>
    </row>
    <row r="1104" spans="1:5" ht="15.75" thickBot="1" x14ac:dyDescent="0.3">
      <c r="A1104" s="172" t="s">
        <v>2</v>
      </c>
      <c r="B1104" s="172" t="s">
        <v>316</v>
      </c>
      <c r="C1104" s="172" t="s">
        <v>317</v>
      </c>
      <c r="D1104" s="172" t="s">
        <v>318</v>
      </c>
      <c r="E1104" s="5"/>
    </row>
    <row r="1105" spans="1:5" x14ac:dyDescent="0.25">
      <c r="A1105" s="184" t="str">
        <f>ORÇAMENTO!A444</f>
        <v>25.1</v>
      </c>
      <c r="B1105" s="248" t="str">
        <f>ORÇAMENTO!D444</f>
        <v>MEIO FIO SEM SARJETA - MFU01</v>
      </c>
      <c r="C1105" s="186" t="s">
        <v>108</v>
      </c>
      <c r="D1105" s="193" t="s">
        <v>827</v>
      </c>
      <c r="E1105" s="5"/>
    </row>
    <row r="1106" spans="1:5" x14ac:dyDescent="0.25">
      <c r="A1106" s="184"/>
      <c r="B1106" s="181" t="s">
        <v>823</v>
      </c>
      <c r="C1106" s="207" t="s">
        <v>108</v>
      </c>
      <c r="D1106" s="193">
        <f>56.38</f>
        <v>56.38</v>
      </c>
      <c r="E1106" s="5"/>
    </row>
    <row r="1107" spans="1:5" x14ac:dyDescent="0.25">
      <c r="A1107" s="184"/>
      <c r="B1107" s="181" t="s">
        <v>828</v>
      </c>
      <c r="C1107" s="207" t="s">
        <v>108</v>
      </c>
      <c r="D1107" s="193">
        <f>29.52+4.6+16.54+4.6+8.45</f>
        <v>63.709999999999994</v>
      </c>
      <c r="E1107" s="5"/>
    </row>
    <row r="1108" spans="1:5" ht="15.75" thickBot="1" x14ac:dyDescent="0.3">
      <c r="A1108" s="516" t="s">
        <v>8</v>
      </c>
      <c r="B1108" s="517"/>
      <c r="C1108" s="518"/>
      <c r="D1108" s="179">
        <f>SUM(D1106:D1107)</f>
        <v>120.09</v>
      </c>
      <c r="E1108" s="5"/>
    </row>
    <row r="1109" spans="1:5" x14ac:dyDescent="0.25">
      <c r="A1109" s="184" t="s">
        <v>1000</v>
      </c>
      <c r="B1109" s="248" t="str">
        <f>ORÇAMENTO!D445</f>
        <v>MEIO FIO COM SARJETA - MFU02</v>
      </c>
      <c r="C1109" s="186" t="s">
        <v>108</v>
      </c>
      <c r="D1109" s="193" t="s">
        <v>827</v>
      </c>
      <c r="E1109" s="5"/>
    </row>
    <row r="1110" spans="1:5" x14ac:dyDescent="0.25">
      <c r="A1110" s="184"/>
      <c r="B1110" s="181" t="s">
        <v>823</v>
      </c>
      <c r="C1110" s="207" t="s">
        <v>108</v>
      </c>
      <c r="D1110" s="193">
        <f>75+60</f>
        <v>135</v>
      </c>
      <c r="E1110" s="5"/>
    </row>
    <row r="1111" spans="1:5" x14ac:dyDescent="0.25">
      <c r="A1111" s="184"/>
      <c r="B1111" s="181" t="s">
        <v>828</v>
      </c>
      <c r="C1111" s="207" t="s">
        <v>108</v>
      </c>
      <c r="D1111" s="193">
        <f>62.16+39.85+2.42+27.51+13.14+10.39</f>
        <v>155.46999999999997</v>
      </c>
      <c r="E1111" s="5"/>
    </row>
    <row r="1112" spans="1:5" ht="15.75" thickBot="1" x14ac:dyDescent="0.3">
      <c r="A1112" s="516" t="s">
        <v>8</v>
      </c>
      <c r="B1112" s="517"/>
      <c r="C1112" s="518"/>
      <c r="D1112" s="179">
        <f>SUM(D1110:D1111)</f>
        <v>290.46999999999997</v>
      </c>
      <c r="E1112" s="5"/>
    </row>
    <row r="1113" spans="1:5" customFormat="1" x14ac:dyDescent="0.25">
      <c r="A1113" s="184" t="s">
        <v>1343</v>
      </c>
      <c r="B1113" s="248" t="str">
        <f>ORÇAMENTO!D446</f>
        <v xml:space="preserve">REGULARIZAÇÃO E COMPACTAÇÃO DO SUB-LEITO </v>
      </c>
      <c r="C1113" s="186" t="s">
        <v>195</v>
      </c>
      <c r="D1113" s="193" t="s">
        <v>412</v>
      </c>
      <c r="E1113" s="5"/>
    </row>
    <row r="1114" spans="1:5" customFormat="1" x14ac:dyDescent="0.25">
      <c r="A1114" s="184"/>
      <c r="B1114" s="181" t="s">
        <v>1433</v>
      </c>
      <c r="C1114" s="207" t="s">
        <v>195</v>
      </c>
      <c r="D1114" s="193">
        <v>628.85</v>
      </c>
    </row>
    <row r="1115" spans="1:5" customFormat="1" ht="15" customHeight="1" x14ac:dyDescent="0.25">
      <c r="A1115" s="184"/>
      <c r="B1115" s="181" t="s">
        <v>1434</v>
      </c>
      <c r="C1115" s="207" t="s">
        <v>195</v>
      </c>
      <c r="D1115" s="193">
        <v>227.28</v>
      </c>
    </row>
    <row r="1116" spans="1:5" customFormat="1" ht="15.75" customHeight="1" thickBot="1" x14ac:dyDescent="0.3">
      <c r="A1116" s="516" t="s">
        <v>8</v>
      </c>
      <c r="B1116" s="517"/>
      <c r="C1116" s="518"/>
      <c r="D1116" s="179">
        <f>SUM(D1114:D1115)</f>
        <v>856.13</v>
      </c>
    </row>
    <row r="1117" spans="1:5" customFormat="1" ht="15.75" customHeight="1" x14ac:dyDescent="0.25">
      <c r="A1117" s="184" t="s">
        <v>1344</v>
      </c>
      <c r="B1117" s="248" t="str">
        <f>ORÇAMENTO!D447</f>
        <v xml:space="preserve">ESCAVAÇÃO E CARGA MAT. DE JAZIDA-COM INDENIZAÇÃO </v>
      </c>
      <c r="C1117" s="186" t="s">
        <v>63</v>
      </c>
      <c r="D1117" s="193" t="s">
        <v>827</v>
      </c>
    </row>
    <row r="1118" spans="1:5" customFormat="1" ht="15.75" customHeight="1" x14ac:dyDescent="0.25">
      <c r="A1118" s="184"/>
      <c r="B1118" s="181" t="s">
        <v>1438</v>
      </c>
      <c r="C1118" s="207" t="s">
        <v>195</v>
      </c>
      <c r="D1118" s="193">
        <f>D1116</f>
        <v>856.13</v>
      </c>
    </row>
    <row r="1119" spans="1:5" customFormat="1" x14ac:dyDescent="0.25">
      <c r="A1119" s="184"/>
      <c r="B1119" s="181" t="s">
        <v>828</v>
      </c>
      <c r="C1119" s="207" t="s">
        <v>108</v>
      </c>
      <c r="D1119" s="193">
        <v>0.2</v>
      </c>
    </row>
    <row r="1120" spans="1:5" customFormat="1" ht="15" customHeight="1" thickBot="1" x14ac:dyDescent="0.3">
      <c r="A1120" s="516" t="s">
        <v>8</v>
      </c>
      <c r="B1120" s="517"/>
      <c r="C1120" s="518"/>
      <c r="D1120" s="179">
        <f>D1119*D1118</f>
        <v>171.226</v>
      </c>
    </row>
    <row r="1121" spans="1:5" customFormat="1" ht="15.75" customHeight="1" x14ac:dyDescent="0.25">
      <c r="A1121" s="184" t="s">
        <v>1345</v>
      </c>
      <c r="B1121" s="248" t="str">
        <f>ORÇAMENTO!D448</f>
        <v xml:space="preserve">TRANSPORTE DE MATERIAL DE JAZIDA (CASCALHO) </v>
      </c>
      <c r="C1121" s="186" t="s">
        <v>1436</v>
      </c>
      <c r="D1121" s="193" t="s">
        <v>827</v>
      </c>
    </row>
    <row r="1122" spans="1:5" customFormat="1" ht="15.75" customHeight="1" x14ac:dyDescent="0.25">
      <c r="A1122" s="184"/>
      <c r="B1122" s="181" t="s">
        <v>1439</v>
      </c>
      <c r="C1122" s="207" t="s">
        <v>63</v>
      </c>
      <c r="D1122" s="193">
        <f>D1120</f>
        <v>171.226</v>
      </c>
    </row>
    <row r="1123" spans="1:5" customFormat="1" ht="15" customHeight="1" x14ac:dyDescent="0.25">
      <c r="A1123" s="184"/>
      <c r="B1123" s="181" t="s">
        <v>1437</v>
      </c>
      <c r="C1123" s="207" t="s">
        <v>1440</v>
      </c>
      <c r="D1123" s="193">
        <v>15</v>
      </c>
    </row>
    <row r="1124" spans="1:5" customFormat="1" ht="15" customHeight="1" x14ac:dyDescent="0.25">
      <c r="A1124" s="184"/>
      <c r="B1124" s="181" t="s">
        <v>1435</v>
      </c>
      <c r="C1124" s="207" t="s">
        <v>334</v>
      </c>
      <c r="D1124" s="193">
        <v>30</v>
      </c>
    </row>
    <row r="1125" spans="1:5" customFormat="1" ht="15.75" thickBot="1" x14ac:dyDescent="0.3">
      <c r="A1125" s="516" t="s">
        <v>8</v>
      </c>
      <c r="B1125" s="517"/>
      <c r="C1125" s="518"/>
      <c r="D1125" s="179">
        <f>1.3*D1123*D1122</f>
        <v>3338.9070000000002</v>
      </c>
    </row>
    <row r="1126" spans="1:5" customFormat="1" x14ac:dyDescent="0.25">
      <c r="A1126" s="184" t="s">
        <v>1346</v>
      </c>
      <c r="B1126" s="248" t="s">
        <v>1447</v>
      </c>
      <c r="C1126" s="186" t="s">
        <v>1436</v>
      </c>
      <c r="D1126" s="193" t="s">
        <v>827</v>
      </c>
    </row>
    <row r="1127" spans="1:5" customFormat="1" x14ac:dyDescent="0.25">
      <c r="A1127" s="184"/>
      <c r="B1127" s="181" t="s">
        <v>1449</v>
      </c>
      <c r="C1127" s="207" t="s">
        <v>63</v>
      </c>
      <c r="D1127" s="193">
        <f>0.0213*D1138</f>
        <v>18.235568999999998</v>
      </c>
    </row>
    <row r="1128" spans="1:5" customFormat="1" x14ac:dyDescent="0.25">
      <c r="A1128" s="184"/>
      <c r="B1128" s="181" t="s">
        <v>1448</v>
      </c>
      <c r="C1128" s="207" t="s">
        <v>1440</v>
      </c>
      <c r="D1128" s="193">
        <v>45</v>
      </c>
    </row>
    <row r="1129" spans="1:5" customFormat="1" ht="15.75" thickBot="1" x14ac:dyDescent="0.3">
      <c r="A1129" s="516" t="s">
        <v>8</v>
      </c>
      <c r="B1129" s="517"/>
      <c r="C1129" s="518"/>
      <c r="D1129" s="179">
        <f>D1128*D1127</f>
        <v>820.60060499999986</v>
      </c>
    </row>
    <row r="1130" spans="1:5" x14ac:dyDescent="0.25">
      <c r="A1130" s="184" t="str">
        <f>ORÇAMENTO!A450</f>
        <v>25.7</v>
      </c>
      <c r="B1130" s="248" t="str">
        <f>ORÇAMENTO!D450</f>
        <v xml:space="preserve">IMPRIMAÇÃO </v>
      </c>
      <c r="C1130" s="186" t="s">
        <v>195</v>
      </c>
      <c r="D1130" s="193" t="s">
        <v>827</v>
      </c>
      <c r="E1130" s="5"/>
    </row>
    <row r="1131" spans="1:5" x14ac:dyDescent="0.25">
      <c r="A1131" s="184"/>
      <c r="B1131" s="181" t="str">
        <f>B1118</f>
        <v>Área de pavimentação: conforme item 25.3</v>
      </c>
      <c r="C1131" s="207" t="s">
        <v>195</v>
      </c>
      <c r="D1131" s="193">
        <f>D1116</f>
        <v>856.13</v>
      </c>
      <c r="E1131" s="5"/>
    </row>
    <row r="1132" spans="1:5" ht="15.75" thickBot="1" x14ac:dyDescent="0.3">
      <c r="A1132" s="516" t="s">
        <v>8</v>
      </c>
      <c r="B1132" s="517"/>
      <c r="C1132" s="518"/>
      <c r="D1132" s="179">
        <f>SUM(D1131:D1131)</f>
        <v>856.13</v>
      </c>
      <c r="E1132" s="5"/>
    </row>
    <row r="1133" spans="1:5" x14ac:dyDescent="0.25">
      <c r="A1133" s="184" t="str">
        <f>ORÇAMENTO!A451</f>
        <v>25.8</v>
      </c>
      <c r="B1133" s="248" t="str">
        <f>ORÇAMENTO!D451</f>
        <v>PINTURA DE LIGAÇÃO</v>
      </c>
      <c r="C1133" s="186" t="s">
        <v>195</v>
      </c>
      <c r="D1133" s="193" t="s">
        <v>827</v>
      </c>
      <c r="E1133" s="5"/>
    </row>
    <row r="1134" spans="1:5" x14ac:dyDescent="0.25">
      <c r="A1134" s="184"/>
      <c r="B1134" s="181" t="str">
        <f>B1131</f>
        <v>Área de pavimentação: conforme item 25.3</v>
      </c>
      <c r="C1134" s="207" t="s">
        <v>195</v>
      </c>
      <c r="D1134" s="193">
        <f>D1116</f>
        <v>856.13</v>
      </c>
      <c r="E1134" s="5"/>
    </row>
    <row r="1135" spans="1:5" ht="15.75" thickBot="1" x14ac:dyDescent="0.3">
      <c r="A1135" s="516" t="s">
        <v>8</v>
      </c>
      <c r="B1135" s="517"/>
      <c r="C1135" s="518"/>
      <c r="D1135" s="179">
        <f>SUM(D1134:D1134)</f>
        <v>856.13</v>
      </c>
      <c r="E1135" s="5"/>
    </row>
    <row r="1136" spans="1:5" x14ac:dyDescent="0.25">
      <c r="A1136" s="184" t="str">
        <f>ORÇAMENTO!A452</f>
        <v>25.9</v>
      </c>
      <c r="B1136" s="248" t="str">
        <f>ORÇAMENTO!D452</f>
        <v xml:space="preserve">TRATAMENTO SUPERFICIAL DUPLO - TSD (BC) </v>
      </c>
      <c r="C1136" s="186" t="s">
        <v>195</v>
      </c>
      <c r="D1136" s="193" t="s">
        <v>827</v>
      </c>
      <c r="E1136" s="5"/>
    </row>
    <row r="1137" spans="1:7" x14ac:dyDescent="0.25">
      <c r="A1137" s="184"/>
      <c r="B1137" s="181" t="str">
        <f>B1134</f>
        <v>Área de pavimentação: conforme item 25.3</v>
      </c>
      <c r="C1137" s="207" t="s">
        <v>195</v>
      </c>
      <c r="D1137" s="193">
        <f>D1134</f>
        <v>856.13</v>
      </c>
      <c r="E1137" s="5"/>
    </row>
    <row r="1138" spans="1:7" ht="15.75" thickBot="1" x14ac:dyDescent="0.3">
      <c r="A1138" s="516" t="s">
        <v>8</v>
      </c>
      <c r="B1138" s="517"/>
      <c r="C1138" s="518"/>
      <c r="D1138" s="179">
        <f>SUM(D1137:D1137)</f>
        <v>856.13</v>
      </c>
      <c r="E1138" s="5"/>
    </row>
    <row r="1139" spans="1:7" x14ac:dyDescent="0.25">
      <c r="A1139" s="184" t="str">
        <f>ORÇAMENTO!A453</f>
        <v>25.10</v>
      </c>
      <c r="B1139" s="248" t="str">
        <f>ORÇAMENTO!D453</f>
        <v xml:space="preserve">FORNECIMENTO DE CM-30 </v>
      </c>
      <c r="C1139" s="186" t="s">
        <v>1358</v>
      </c>
      <c r="D1139" s="193" t="s">
        <v>1443</v>
      </c>
      <c r="E1139" s="5"/>
    </row>
    <row r="1140" spans="1:7" x14ac:dyDescent="0.25">
      <c r="A1140" s="184"/>
      <c r="B1140" s="181" t="str">
        <f>B1137</f>
        <v>Área de pavimentação: conforme item 25.3</v>
      </c>
      <c r="C1140" s="207" t="s">
        <v>195</v>
      </c>
      <c r="D1140" s="193">
        <f>D1138</f>
        <v>856.13</v>
      </c>
      <c r="E1140" s="5"/>
    </row>
    <row r="1141" spans="1:7" x14ac:dyDescent="0.25">
      <c r="A1141" s="184"/>
      <c r="B1141" s="181" t="s">
        <v>1441</v>
      </c>
      <c r="C1141" s="207" t="s">
        <v>1442</v>
      </c>
      <c r="D1141" s="253">
        <v>1.1999999999999999E-3</v>
      </c>
      <c r="E1141" s="5"/>
    </row>
    <row r="1142" spans="1:7" ht="15.75" thickBot="1" x14ac:dyDescent="0.3">
      <c r="A1142" s="516" t="s">
        <v>8</v>
      </c>
      <c r="B1142" s="517"/>
      <c r="C1142" s="518"/>
      <c r="D1142" s="179">
        <f>D1140*D1141</f>
        <v>1.0273559999999999</v>
      </c>
      <c r="E1142" s="5"/>
    </row>
    <row r="1143" spans="1:7" x14ac:dyDescent="0.25">
      <c r="A1143" s="184" t="str">
        <f>ORÇAMENTO!A454</f>
        <v>25.11</v>
      </c>
      <c r="B1143" s="248" t="str">
        <f>ORÇAMENTO!D454</f>
        <v xml:space="preserve">FORNECIMENTO DE EMULSÃO RR-2C </v>
      </c>
      <c r="C1143" s="186" t="s">
        <v>1358</v>
      </c>
      <c r="D1143" s="193" t="s">
        <v>1443</v>
      </c>
      <c r="E1143" s="5"/>
    </row>
    <row r="1144" spans="1:7" x14ac:dyDescent="0.25">
      <c r="A1144" s="184"/>
      <c r="B1144" s="181" t="str">
        <f>B1137</f>
        <v>Área de pavimentação: conforme item 25.3</v>
      </c>
      <c r="C1144" s="207" t="s">
        <v>195</v>
      </c>
      <c r="D1144" s="193">
        <f>D1138</f>
        <v>856.13</v>
      </c>
      <c r="E1144" s="5"/>
    </row>
    <row r="1145" spans="1:7" x14ac:dyDescent="0.25">
      <c r="A1145" s="184"/>
      <c r="B1145" s="181" t="s">
        <v>1445</v>
      </c>
      <c r="C1145" s="207" t="s">
        <v>1442</v>
      </c>
      <c r="D1145" s="253">
        <v>5.0000000000000001E-4</v>
      </c>
      <c r="E1145" s="5"/>
    </row>
    <row r="1146" spans="1:7" s="94" customFormat="1" x14ac:dyDescent="0.25">
      <c r="A1146" s="184"/>
      <c r="B1146" s="181" t="s">
        <v>1446</v>
      </c>
      <c r="C1146" s="207" t="s">
        <v>1442</v>
      </c>
      <c r="D1146" s="253">
        <v>5.0000000000000001E-4</v>
      </c>
    </row>
    <row r="1147" spans="1:7" ht="15.75" thickBot="1" x14ac:dyDescent="0.3">
      <c r="A1147" s="516" t="s">
        <v>8</v>
      </c>
      <c r="B1147" s="517"/>
      <c r="C1147" s="518"/>
      <c r="D1147" s="179">
        <f>(D1144*D1145)+(D1144*D1146)</f>
        <v>0.85613000000000006</v>
      </c>
      <c r="E1147" s="5"/>
    </row>
    <row r="1148" spans="1:7" x14ac:dyDescent="0.25">
      <c r="A1148" s="184" t="str">
        <f>ORÇAMENTO!A455</f>
        <v>25.12</v>
      </c>
      <c r="B1148" s="248" t="str">
        <f>ORÇAMENTO!D455</f>
        <v>CAPA SELANTE C/ PÓ DE PEDRA (BC)</v>
      </c>
      <c r="C1148" s="186" t="s">
        <v>63</v>
      </c>
      <c r="D1148" s="193" t="s">
        <v>827</v>
      </c>
    </row>
    <row r="1149" spans="1:7" x14ac:dyDescent="0.25">
      <c r="A1149" s="184"/>
      <c r="B1149" s="181" t="str">
        <f>B1144</f>
        <v>Área de pavimentação: conforme item 25.3</v>
      </c>
      <c r="C1149" s="207" t="s">
        <v>195</v>
      </c>
      <c r="D1149" s="193">
        <f>D1138</f>
        <v>856.13</v>
      </c>
    </row>
    <row r="1150" spans="1:7" x14ac:dyDescent="0.25">
      <c r="A1150" s="184"/>
      <c r="B1150" s="181" t="s">
        <v>1444</v>
      </c>
      <c r="C1150" s="207" t="s">
        <v>108</v>
      </c>
      <c r="D1150" s="193">
        <v>0.01</v>
      </c>
    </row>
    <row r="1151" spans="1:7" ht="15.75" thickBot="1" x14ac:dyDescent="0.3">
      <c r="A1151" s="516" t="s">
        <v>8</v>
      </c>
      <c r="B1151" s="517"/>
      <c r="C1151" s="518"/>
      <c r="D1151" s="179">
        <f>D1149*D1150</f>
        <v>8.561300000000001</v>
      </c>
    </row>
    <row r="1152" spans="1:7" x14ac:dyDescent="0.25">
      <c r="A1152" s="532" t="s">
        <v>315</v>
      </c>
      <c r="B1152" s="533"/>
      <c r="C1152" s="533"/>
      <c r="D1152" s="254"/>
      <c r="E1152" s="97"/>
      <c r="F1152" s="31"/>
      <c r="G1152" s="14"/>
    </row>
    <row r="1153" spans="1:7" x14ac:dyDescent="0.25">
      <c r="A1153" s="255"/>
      <c r="B1153" s="256"/>
      <c r="C1153" s="256"/>
      <c r="D1153" s="257"/>
      <c r="E1153" s="97"/>
      <c r="F1153" s="31"/>
      <c r="G1153" s="14"/>
    </row>
    <row r="1154" spans="1:7" x14ac:dyDescent="0.25">
      <c r="A1154" s="255"/>
      <c r="B1154" s="256"/>
      <c r="C1154" s="256"/>
      <c r="D1154" s="257"/>
      <c r="E1154" s="97"/>
      <c r="F1154" s="31"/>
      <c r="G1154" s="14"/>
    </row>
    <row r="1155" spans="1:7" x14ac:dyDescent="0.25">
      <c r="A1155" s="255"/>
      <c r="B1155" s="256"/>
      <c r="C1155" s="256"/>
      <c r="D1155" s="257"/>
      <c r="E1155" s="97"/>
      <c r="F1155" s="31"/>
      <c r="G1155" s="14"/>
    </row>
    <row r="1156" spans="1:7" x14ac:dyDescent="0.25">
      <c r="A1156" s="258"/>
      <c r="B1156" s="256" t="s">
        <v>272</v>
      </c>
      <c r="C1156" s="534" t="s">
        <v>272</v>
      </c>
      <c r="D1156" s="534"/>
      <c r="E1156" s="5"/>
    </row>
    <row r="1157" spans="1:7" x14ac:dyDescent="0.25">
      <c r="A1157" s="258"/>
      <c r="B1157" s="259" t="s">
        <v>273</v>
      </c>
      <c r="C1157" s="535" t="s">
        <v>453</v>
      </c>
      <c r="D1157" s="535"/>
      <c r="E1157" s="5"/>
    </row>
    <row r="1158" spans="1:7" x14ac:dyDescent="0.25">
      <c r="A1158" s="258"/>
      <c r="B1158" s="256" t="s">
        <v>274</v>
      </c>
      <c r="C1158" s="534" t="s">
        <v>275</v>
      </c>
      <c r="D1158" s="534"/>
      <c r="E1158" s="5"/>
    </row>
    <row r="1159" spans="1:7" ht="15.75" thickBot="1" x14ac:dyDescent="0.3">
      <c r="A1159" s="260"/>
      <c r="B1159" s="261" t="s">
        <v>276</v>
      </c>
      <c r="C1159" s="536" t="s">
        <v>454</v>
      </c>
      <c r="D1159" s="537"/>
      <c r="E1159" s="5"/>
    </row>
    <row r="1160" spans="1:7" x14ac:dyDescent="0.25">
      <c r="A1160" s="97"/>
      <c r="B1160" s="98"/>
      <c r="C1160" s="44"/>
      <c r="D1160" s="45"/>
      <c r="E1160" s="92"/>
      <c r="F1160" s="46"/>
      <c r="G1160" s="47"/>
    </row>
  </sheetData>
  <sheetProtection selectLockedCells="1"/>
  <mergeCells count="135">
    <mergeCell ref="A1098:C1098"/>
    <mergeCell ref="A1102:C1102"/>
    <mergeCell ref="A1152:C1152"/>
    <mergeCell ref="C1156:D1156"/>
    <mergeCell ref="C1157:D1157"/>
    <mergeCell ref="C1158:D1158"/>
    <mergeCell ref="C1159:D1159"/>
    <mergeCell ref="A1116:C1116"/>
    <mergeCell ref="A1120:C1120"/>
    <mergeCell ref="A1125:C1125"/>
    <mergeCell ref="A1132:C1132"/>
    <mergeCell ref="A1135:C1135"/>
    <mergeCell ref="A1138:C1138"/>
    <mergeCell ref="A1142:C1142"/>
    <mergeCell ref="A1147:C1147"/>
    <mergeCell ref="A1151:C1151"/>
    <mergeCell ref="A1129:C1129"/>
    <mergeCell ref="A1112:C1112"/>
    <mergeCell ref="A1108:C1108"/>
    <mergeCell ref="A545:C545"/>
    <mergeCell ref="A581:C581"/>
    <mergeCell ref="A640:C640"/>
    <mergeCell ref="A650:C650"/>
    <mergeCell ref="A666:C666"/>
    <mergeCell ref="A663:C663"/>
    <mergeCell ref="A254:C254"/>
    <mergeCell ref="A575:C575"/>
    <mergeCell ref="A808:C808"/>
    <mergeCell ref="A518:C518"/>
    <mergeCell ref="A656:C656"/>
    <mergeCell ref="A659:C659"/>
    <mergeCell ref="A681:C681"/>
    <mergeCell ref="A685:C685"/>
    <mergeCell ref="A692:C692"/>
    <mergeCell ref="A695:C695"/>
    <mergeCell ref="A712:C712"/>
    <mergeCell ref="A709:C709"/>
    <mergeCell ref="A212:C212"/>
    <mergeCell ref="A512:C512"/>
    <mergeCell ref="A229:C229"/>
    <mergeCell ref="A236:C236"/>
    <mergeCell ref="A1092:C1092"/>
    <mergeCell ref="A221:C221"/>
    <mergeCell ref="A1023:C1023"/>
    <mergeCell ref="A1032:C1032"/>
    <mergeCell ref="A1036:C1036"/>
    <mergeCell ref="A1039:C1039"/>
    <mergeCell ref="A1042:C1042"/>
    <mergeCell ref="A992:C992"/>
    <mergeCell ref="A1001:C1001"/>
    <mergeCell ref="A1011:C1011"/>
    <mergeCell ref="A946:C946"/>
    <mergeCell ref="A554:C554"/>
    <mergeCell ref="A567:C567"/>
    <mergeCell ref="A564:C564"/>
    <mergeCell ref="A604:C604"/>
    <mergeCell ref="A678:C678"/>
    <mergeCell ref="A587:C587"/>
    <mergeCell ref="A610:C610"/>
    <mergeCell ref="A528:C528"/>
    <mergeCell ref="A943:C943"/>
    <mergeCell ref="A162:C162"/>
    <mergeCell ref="A1:C1"/>
    <mergeCell ref="A2:C2"/>
    <mergeCell ref="A53:C53"/>
    <mergeCell ref="A67:C67"/>
    <mergeCell ref="A63:C63"/>
    <mergeCell ref="A19:C19"/>
    <mergeCell ref="A22:C22"/>
    <mergeCell ref="A28:C28"/>
    <mergeCell ref="A32:C32"/>
    <mergeCell ref="A16:C16"/>
    <mergeCell ref="A40:C40"/>
    <mergeCell ref="A44:C44"/>
    <mergeCell ref="A57:C57"/>
    <mergeCell ref="A85:C85"/>
    <mergeCell ref="A92:C92"/>
    <mergeCell ref="A99:C99"/>
    <mergeCell ref="A987:C987"/>
    <mergeCell ref="A949:C949"/>
    <mergeCell ref="A904:C904"/>
    <mergeCell ref="A907:C907"/>
    <mergeCell ref="A912:C912"/>
    <mergeCell ref="A919:C919"/>
    <mergeCell ref="A926:C926"/>
    <mergeCell ref="A998:C998"/>
    <mergeCell ref="A952:C952"/>
    <mergeCell ref="A47:C47"/>
    <mergeCell ref="A36:C36"/>
    <mergeCell ref="A205:C205"/>
    <mergeCell ref="A103:C103"/>
    <mergeCell ref="A161:D161"/>
    <mergeCell ref="A521:C521"/>
    <mergeCell ref="A548:C548"/>
    <mergeCell ref="A244:C244"/>
    <mergeCell ref="A250:C250"/>
    <mergeCell ref="A247:C247"/>
    <mergeCell ref="A188:C188"/>
    <mergeCell ref="A199:C199"/>
    <mergeCell ref="A166:C166"/>
    <mergeCell ref="A107:C107"/>
    <mergeCell ref="A111:C111"/>
    <mergeCell ref="A121:C121"/>
    <mergeCell ref="A126:C126"/>
    <mergeCell ref="A140:C140"/>
    <mergeCell ref="A115:C115"/>
    <mergeCell ref="A75:C75"/>
    <mergeCell ref="A78:C78"/>
    <mergeCell ref="A71:C71"/>
    <mergeCell ref="A131:C131"/>
    <mergeCell ref="A136:C136"/>
    <mergeCell ref="A1095:C1095"/>
    <mergeCell ref="A715:C715"/>
    <mergeCell ref="A701:C701"/>
    <mergeCell ref="A704:C704"/>
    <mergeCell ref="A893:C893"/>
    <mergeCell ref="A900:C900"/>
    <mergeCell ref="A725:C725"/>
    <mergeCell ref="A729:C729"/>
    <mergeCell ref="A875:C875"/>
    <mergeCell ref="A888:C888"/>
    <mergeCell ref="A804:C804"/>
    <mergeCell ref="A722:C722"/>
    <mergeCell ref="A1065:C1065"/>
    <mergeCell ref="A1014:C1014"/>
    <mergeCell ref="A968:C968"/>
    <mergeCell ref="A937:C937"/>
    <mergeCell ref="A932:C932"/>
    <mergeCell ref="A995:C995"/>
    <mergeCell ref="A1088:C1088"/>
    <mergeCell ref="A896:C896"/>
    <mergeCell ref="A978:C978"/>
    <mergeCell ref="A982:C982"/>
    <mergeCell ref="A1028:C1028"/>
    <mergeCell ref="A974:C974"/>
  </mergeCells>
  <phoneticPr fontId="11" type="noConversion"/>
  <pageMargins left="0.51181102362204722" right="0.51181102362204722" top="0.78740157480314965" bottom="0.39370078740157483" header="0.31496062992125984" footer="0.31496062992125984"/>
  <pageSetup paperSize="9" scale="53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D8" sqref="D8"/>
    </sheetView>
  </sheetViews>
  <sheetFormatPr defaultColWidth="21.42578125" defaultRowHeight="15" x14ac:dyDescent="0.25"/>
  <cols>
    <col min="1" max="1" width="16.5703125" customWidth="1"/>
    <col min="2" max="2" width="15.42578125" customWidth="1"/>
    <col min="3" max="3" width="17.42578125" customWidth="1"/>
    <col min="4" max="4" width="17" customWidth="1"/>
    <col min="5" max="5" width="16.85546875" customWidth="1"/>
    <col min="6" max="7" width="19.140625" customWidth="1"/>
    <col min="8" max="8" width="15.140625" customWidth="1"/>
    <col min="9" max="9" width="14.7109375" customWidth="1"/>
    <col min="10" max="10" width="20.7109375" customWidth="1"/>
  </cols>
  <sheetData>
    <row r="1" spans="1:10" x14ac:dyDescent="0.25">
      <c r="A1" s="62"/>
      <c r="B1" s="63"/>
      <c r="C1" s="538" t="str">
        <f>ORÇAMENTO!C1</f>
        <v>PREFEITURA MUNICIPAL DE CATALÃO</v>
      </c>
      <c r="D1" s="538"/>
      <c r="E1" s="538"/>
      <c r="F1" s="538"/>
      <c r="G1" s="538"/>
      <c r="H1" s="538"/>
      <c r="I1" s="538"/>
      <c r="J1" s="539"/>
    </row>
    <row r="2" spans="1:10" x14ac:dyDescent="0.25">
      <c r="A2" s="64"/>
      <c r="B2" s="66"/>
      <c r="C2" s="540" t="s">
        <v>444</v>
      </c>
      <c r="D2" s="540"/>
      <c r="E2" s="540"/>
      <c r="F2" s="540"/>
      <c r="G2" s="540"/>
      <c r="H2" s="540"/>
      <c r="I2" s="540"/>
      <c r="J2" s="541"/>
    </row>
    <row r="3" spans="1:10" x14ac:dyDescent="0.25">
      <c r="A3" s="64"/>
      <c r="B3" s="66"/>
      <c r="C3" s="65" t="str">
        <f>ORÇAMENTO!C3</f>
        <v>SETOR</v>
      </c>
      <c r="D3" s="93" t="str">
        <f>ORÇAMENTO!D3</f>
        <v>SECRETARIA MUNICIPAL DE OBRAS</v>
      </c>
      <c r="E3" s="65"/>
      <c r="F3" s="65"/>
      <c r="G3" s="65"/>
      <c r="H3" s="65"/>
      <c r="I3" s="65"/>
      <c r="J3" s="66"/>
    </row>
    <row r="4" spans="1:10" x14ac:dyDescent="0.25">
      <c r="A4" s="67"/>
      <c r="B4" s="69"/>
      <c r="C4" s="65" t="str">
        <f>ORÇAMENTO!C4</f>
        <v>OBJETO</v>
      </c>
      <c r="D4" s="93" t="str">
        <f>ORÇAMENTO!D4</f>
        <v>CENTRO ATENDIMENTO MÉDICO</v>
      </c>
      <c r="E4" s="68"/>
      <c r="F4" s="68"/>
      <c r="G4" s="68"/>
      <c r="H4" s="68"/>
      <c r="I4" s="68"/>
      <c r="J4" s="69"/>
    </row>
    <row r="5" spans="1:10" x14ac:dyDescent="0.25">
      <c r="A5" s="59"/>
      <c r="B5" s="61"/>
      <c r="C5" s="65" t="str">
        <f>ORÇAMENTO!C5</f>
        <v>PROCESSO</v>
      </c>
      <c r="D5" s="93">
        <f>ORÇAMENTO!D5</f>
        <v>2021003462</v>
      </c>
      <c r="E5" s="60"/>
      <c r="F5" s="60"/>
      <c r="G5" s="60"/>
      <c r="H5" s="60"/>
      <c r="I5" s="60"/>
      <c r="J5" s="61"/>
    </row>
    <row r="6" spans="1:10" ht="30" customHeight="1" x14ac:dyDescent="0.25">
      <c r="A6" s="59"/>
      <c r="B6" s="61"/>
      <c r="C6" s="65" t="str">
        <f>ORÇAMENTO!C6</f>
        <v>ENDEREÇO</v>
      </c>
      <c r="D6" s="542" t="str">
        <f>ORÇAMENTO!D6</f>
        <v>ESQUINA DA RUA ALBINO FELIPE DO NASCIMENTO COM RUA MOZART SALVIANO, BAIRRO MARIA AMÉLIA II (ÁREA DE EQUIPAMENTO COMUNITÁRIO I)</v>
      </c>
      <c r="E6" s="542"/>
      <c r="F6" s="542"/>
      <c r="G6" s="542"/>
      <c r="H6" s="542"/>
      <c r="I6" s="542"/>
      <c r="J6" s="543"/>
    </row>
    <row r="7" spans="1:10" x14ac:dyDescent="0.25">
      <c r="A7" s="59"/>
      <c r="B7" s="61"/>
      <c r="C7" s="65" t="str">
        <f>ORÇAMENTO!C7</f>
        <v>TABELAS</v>
      </c>
      <c r="D7" s="93" t="str">
        <f>ORÇAMENTO!D7</f>
        <v>TABELA GOINFRA 142 - CUSTOS DE OBRAS CIVIS - NOVEMBRO/2020 - DESONERADA - DATA BASE: 01/11/2020</v>
      </c>
      <c r="E7" s="60"/>
      <c r="F7" s="60"/>
      <c r="G7" s="60"/>
      <c r="H7" s="60"/>
      <c r="I7" s="60"/>
      <c r="J7" s="61"/>
    </row>
    <row r="8" spans="1:10" x14ac:dyDescent="0.25">
      <c r="A8" s="59"/>
      <c r="B8" s="61"/>
      <c r="C8" s="65"/>
      <c r="D8" s="93" t="str">
        <f>ORÇAMENTO!D8</f>
        <v>TABELA SINAPI PCI.817.01 - CUSTO DE COMPOSIÇÕES - SINTÉTITICO - NOVEMBRO/2020 - COM DESONERAÇÃO - DATA BASE: 15/12/2020</v>
      </c>
      <c r="E8" s="60"/>
      <c r="F8" s="60"/>
      <c r="G8" s="60"/>
      <c r="H8" s="60"/>
      <c r="I8" s="60"/>
      <c r="J8" s="61"/>
    </row>
    <row r="9" spans="1:10" x14ac:dyDescent="0.25">
      <c r="A9" s="59"/>
      <c r="B9" s="61"/>
      <c r="C9" s="65"/>
      <c r="D9" s="99" t="str">
        <f>'MEMÓRIA DE CÁLCULO'!B9</f>
        <v>TABELA DE TERRAPLENAGEM, PAVIMENTAÇÃO E OBRAS DE ARTE ESPECIAIS - MAR/18 - COM DESONERAÇÃO (T135) - DATA BASE: 01/03/2018</v>
      </c>
      <c r="E9" s="60"/>
      <c r="F9" s="60"/>
      <c r="G9" s="60"/>
      <c r="H9" s="60"/>
      <c r="I9" s="60"/>
      <c r="J9" s="61"/>
    </row>
    <row r="10" spans="1:10" ht="15.75" thickBot="1" x14ac:dyDescent="0.3">
      <c r="A10" s="70"/>
      <c r="B10" s="74"/>
      <c r="C10" s="72" t="str">
        <f>ORÇAMENTO!C10</f>
        <v xml:space="preserve">DATA </v>
      </c>
      <c r="D10" s="73" t="str">
        <f>ORÇAMENTO!D10</f>
        <v>TERÇA FEIRA, 9 DE FEVEREIRO DE 2021</v>
      </c>
      <c r="E10" s="71"/>
      <c r="F10" s="71"/>
      <c r="G10" s="71"/>
      <c r="H10" s="71"/>
      <c r="I10" s="71"/>
      <c r="J10" s="74"/>
    </row>
    <row r="11" spans="1:10" x14ac:dyDescent="0.25">
      <c r="A11" s="544"/>
      <c r="B11" s="545"/>
      <c r="C11" s="545"/>
      <c r="D11" s="545"/>
      <c r="E11" s="545"/>
      <c r="F11" s="545"/>
      <c r="G11" s="545"/>
      <c r="H11" s="545"/>
      <c r="I11" s="545"/>
      <c r="J11" s="546"/>
    </row>
    <row r="12" spans="1:10" ht="33" x14ac:dyDescent="0.25">
      <c r="A12" s="34" t="s">
        <v>281</v>
      </c>
      <c r="B12" s="35" t="s">
        <v>282</v>
      </c>
      <c r="C12" s="35" t="s">
        <v>283</v>
      </c>
      <c r="D12" s="35" t="s">
        <v>284</v>
      </c>
      <c r="E12" s="35" t="s">
        <v>285</v>
      </c>
      <c r="F12" s="35" t="s">
        <v>286</v>
      </c>
      <c r="G12" s="35" t="s">
        <v>287</v>
      </c>
      <c r="H12" s="35" t="s">
        <v>288</v>
      </c>
      <c r="I12" s="35" t="s">
        <v>289</v>
      </c>
      <c r="J12" s="36" t="s">
        <v>290</v>
      </c>
    </row>
    <row r="13" spans="1:10" ht="17.25" thickBot="1" x14ac:dyDescent="0.3">
      <c r="A13" s="37">
        <v>3</v>
      </c>
      <c r="B13" s="38">
        <v>6.16</v>
      </c>
      <c r="C13" s="38">
        <v>0.28000000000000003</v>
      </c>
      <c r="D13" s="38">
        <v>0.12</v>
      </c>
      <c r="E13" s="38">
        <v>0.97</v>
      </c>
      <c r="F13" s="38">
        <v>2.4</v>
      </c>
      <c r="G13" s="38">
        <v>0.65</v>
      </c>
      <c r="H13" s="38">
        <v>3</v>
      </c>
      <c r="I13" s="38">
        <v>4.5</v>
      </c>
      <c r="J13" s="75">
        <v>23.88</v>
      </c>
    </row>
    <row r="14" spans="1:10" x14ac:dyDescent="0.25">
      <c r="A14" s="39" t="s">
        <v>291</v>
      </c>
      <c r="B14" s="13"/>
      <c r="C14" s="13"/>
      <c r="D14" s="13"/>
      <c r="E14" s="13"/>
      <c r="F14" s="13"/>
      <c r="G14" s="13"/>
      <c r="H14" s="13"/>
      <c r="I14" s="13"/>
      <c r="J14" s="26"/>
    </row>
    <row r="15" spans="1:10" x14ac:dyDescent="0.25">
      <c r="A15" s="58"/>
      <c r="B15" s="97"/>
      <c r="C15" s="97"/>
      <c r="D15" s="13"/>
      <c r="E15" s="1"/>
      <c r="F15" s="14"/>
      <c r="G15" s="15"/>
      <c r="H15" s="24"/>
      <c r="I15" s="13"/>
      <c r="J15" s="26"/>
    </row>
    <row r="16" spans="1:10" x14ac:dyDescent="0.25">
      <c r="A16" s="58"/>
      <c r="B16" s="97"/>
      <c r="C16" s="97"/>
      <c r="D16" s="13"/>
      <c r="E16" s="1"/>
      <c r="F16" s="14"/>
      <c r="G16" s="15"/>
      <c r="H16" s="24"/>
      <c r="I16" s="13"/>
      <c r="J16" s="26"/>
    </row>
    <row r="17" spans="1:10" x14ac:dyDescent="0.25">
      <c r="A17" s="58"/>
      <c r="B17" s="97"/>
      <c r="C17" s="1" t="s">
        <v>272</v>
      </c>
      <c r="D17" s="13"/>
      <c r="E17" s="1"/>
      <c r="F17" s="1" t="s">
        <v>272</v>
      </c>
      <c r="G17" s="15"/>
      <c r="H17" s="24"/>
      <c r="I17" s="1"/>
      <c r="J17" s="30"/>
    </row>
    <row r="18" spans="1:10" x14ac:dyDescent="0.25">
      <c r="A18" s="58"/>
      <c r="B18" s="97"/>
      <c r="C18" s="16" t="s">
        <v>273</v>
      </c>
      <c r="D18" s="13"/>
      <c r="E18" s="1"/>
      <c r="F18" s="138">
        <f>ORÇAMENTO!F470</f>
        <v>0</v>
      </c>
      <c r="G18" s="15"/>
      <c r="H18" s="24"/>
      <c r="I18" s="16"/>
      <c r="J18" s="26"/>
    </row>
    <row r="19" spans="1:10" x14ac:dyDescent="0.25">
      <c r="A19" s="17"/>
      <c r="B19" s="18"/>
      <c r="C19" s="16" t="s">
        <v>274</v>
      </c>
      <c r="D19" s="13"/>
      <c r="E19" s="1"/>
      <c r="F19" s="16" t="s">
        <v>275</v>
      </c>
      <c r="G19" s="18"/>
      <c r="H19" s="23"/>
      <c r="I19" s="16"/>
      <c r="J19" s="26"/>
    </row>
    <row r="20" spans="1:10" x14ac:dyDescent="0.25">
      <c r="A20" s="58"/>
      <c r="B20" s="18"/>
      <c r="C20" s="16" t="s">
        <v>276</v>
      </c>
      <c r="D20" s="13"/>
      <c r="E20" s="1"/>
      <c r="F20" s="138">
        <f>ORÇAMENTO!F472</f>
        <v>0</v>
      </c>
      <c r="G20" s="18"/>
      <c r="H20" s="23"/>
      <c r="I20" s="16"/>
      <c r="J20" s="26"/>
    </row>
    <row r="21" spans="1:10" x14ac:dyDescent="0.25">
      <c r="A21" s="58"/>
      <c r="B21" s="18"/>
      <c r="C21" s="97"/>
      <c r="D21" s="13"/>
      <c r="E21" s="1"/>
      <c r="F21" s="15"/>
      <c r="G21" s="18"/>
      <c r="H21" s="23"/>
      <c r="I21" s="13"/>
      <c r="J21" s="26"/>
    </row>
    <row r="22" spans="1:10" ht="15.75" thickBot="1" x14ac:dyDescent="0.3">
      <c r="A22" s="20"/>
      <c r="B22" s="21"/>
      <c r="C22" s="21"/>
      <c r="D22" s="22"/>
      <c r="E22" s="21"/>
      <c r="F22" s="21"/>
      <c r="G22" s="21"/>
      <c r="H22" s="27"/>
      <c r="I22" s="28"/>
      <c r="J22" s="29"/>
    </row>
  </sheetData>
  <mergeCells count="4">
    <mergeCell ref="C1:J1"/>
    <mergeCell ref="C2:J2"/>
    <mergeCell ref="D6:J6"/>
    <mergeCell ref="A11:J11"/>
  </mergeCells>
  <pageMargins left="0.51181102362204722" right="0.51181102362204722" top="0.78740157480314965" bottom="0.78740157480314965" header="0.31496062992125984" footer="0.31496062992125984"/>
  <pageSetup paperSize="9" scale="7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showGridLines="0" zoomScaleNormal="100" workbookViewId="0">
      <selection activeCell="D9" sqref="D9:J9"/>
    </sheetView>
  </sheetViews>
  <sheetFormatPr defaultRowHeight="15" x14ac:dyDescent="0.25"/>
  <cols>
    <col min="1" max="1" width="5.42578125" bestFit="1" customWidth="1"/>
    <col min="2" max="2" width="31.5703125" customWidth="1"/>
    <col min="3" max="3" width="16.85546875" bestFit="1" customWidth="1"/>
    <col min="4" max="4" width="14.28515625" customWidth="1"/>
    <col min="5" max="8" width="15.85546875" bestFit="1" customWidth="1"/>
    <col min="9" max="9" width="18.28515625" customWidth="1"/>
    <col min="10" max="10" width="15.85546875" style="83" bestFit="1" customWidth="1"/>
    <col min="11" max="14" width="15.85546875" bestFit="1" customWidth="1"/>
    <col min="15" max="15" width="18.28515625" customWidth="1"/>
  </cols>
  <sheetData>
    <row r="1" spans="1:16" x14ac:dyDescent="0.25">
      <c r="A1" s="3"/>
      <c r="B1" s="25"/>
      <c r="C1" s="565" t="str">
        <f>ORÇAMENTO!C1</f>
        <v>PREFEITURA MUNICIPAL DE CATALÃO</v>
      </c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9"/>
    </row>
    <row r="2" spans="1:16" x14ac:dyDescent="0.25">
      <c r="A2" s="4"/>
      <c r="B2" s="26"/>
      <c r="C2" s="566" t="s">
        <v>751</v>
      </c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1"/>
    </row>
    <row r="3" spans="1:16" x14ac:dyDescent="0.25">
      <c r="A3" s="4"/>
      <c r="B3" s="26"/>
      <c r="C3" s="150" t="str">
        <f>ORÇAMENTO!C3</f>
        <v>SETOR</v>
      </c>
      <c r="D3" s="130" t="str">
        <f>ORÇAMENTO!D3</f>
        <v>SECRETARIA MUNICIPAL DE OBRAS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52"/>
    </row>
    <row r="4" spans="1:16" x14ac:dyDescent="0.25">
      <c r="A4" s="4"/>
      <c r="B4" s="26"/>
      <c r="C4" s="150" t="str">
        <f>ORÇAMENTO!C4</f>
        <v>OBJETO</v>
      </c>
      <c r="D4" s="13" t="str">
        <f>ORÇAMENTO!D4</f>
        <v>CENTRO ATENDIMENTO MÉDICO</v>
      </c>
      <c r="E4" s="13"/>
      <c r="F4" s="13"/>
      <c r="G4" s="13"/>
      <c r="H4" s="13"/>
      <c r="I4" s="13"/>
      <c r="J4" s="149"/>
      <c r="K4" s="13"/>
      <c r="L4" s="13"/>
      <c r="M4" s="13"/>
      <c r="N4" s="13"/>
      <c r="O4" s="26"/>
    </row>
    <row r="5" spans="1:16" x14ac:dyDescent="0.25">
      <c r="A5" s="4"/>
      <c r="B5" s="26"/>
      <c r="C5" s="150" t="str">
        <f>ORÇAMENTO!C5</f>
        <v>PROCESSO</v>
      </c>
      <c r="D5" s="80">
        <f>ORÇAMENTO!D5</f>
        <v>2021003462</v>
      </c>
      <c r="E5" s="13"/>
      <c r="F5" s="13"/>
      <c r="G5" s="13"/>
      <c r="H5" s="13"/>
      <c r="I5" s="13"/>
      <c r="J5" s="149"/>
      <c r="K5" s="13"/>
      <c r="L5" s="13"/>
      <c r="M5" s="13"/>
      <c r="N5" s="13"/>
      <c r="O5" s="26"/>
    </row>
    <row r="6" spans="1:16" ht="30" customHeight="1" x14ac:dyDescent="0.25">
      <c r="A6" s="4"/>
      <c r="B6" s="26"/>
      <c r="C6" s="150" t="str">
        <f>ORÇAMENTO!C6</f>
        <v>ENDEREÇO</v>
      </c>
      <c r="D6" s="547" t="str">
        <f>ORÇAMENTO!D6</f>
        <v>ESQUINA DA RUA ALBINO FELIPE DO NASCIMENTO COM RUA MOZART SALVIANO, BAIRRO MARIA AMÉLIA II (ÁREA DE EQUIPAMENTO COMUNITÁRIO I)</v>
      </c>
      <c r="E6" s="547"/>
      <c r="F6" s="547"/>
      <c r="G6" s="547"/>
      <c r="H6" s="547"/>
      <c r="I6" s="547"/>
      <c r="J6" s="149"/>
      <c r="K6" s="13"/>
      <c r="L6" s="13"/>
      <c r="M6" s="13"/>
      <c r="N6" s="13"/>
      <c r="O6" s="26"/>
    </row>
    <row r="7" spans="1:16" x14ac:dyDescent="0.25">
      <c r="A7" s="4"/>
      <c r="B7" s="26"/>
      <c r="C7" s="150" t="str">
        <f>ORÇAMENTO!C7</f>
        <v>TABELAS</v>
      </c>
      <c r="D7" s="13" t="str">
        <f>ORÇAMENTO!D7</f>
        <v>TABELA GOINFRA 142 - CUSTOS DE OBRAS CIVIS - NOVEMBRO/2020 - DESONERADA - DATA BASE: 01/11/2020</v>
      </c>
      <c r="E7" s="13"/>
      <c r="F7" s="13"/>
      <c r="G7" s="13"/>
      <c r="H7" s="13"/>
      <c r="I7" s="13"/>
      <c r="J7" s="149"/>
      <c r="K7" s="13"/>
      <c r="L7" s="13"/>
      <c r="M7" s="13"/>
      <c r="N7" s="13"/>
      <c r="O7" s="26"/>
    </row>
    <row r="8" spans="1:16" ht="29.25" customHeight="1" x14ac:dyDescent="0.25">
      <c r="A8" s="4"/>
      <c r="B8" s="26"/>
      <c r="C8" s="150"/>
      <c r="D8" s="547" t="str">
        <f>ORÇAMENTO!D8</f>
        <v>TABELA SINAPI PCI.817.01 - CUSTO DE COMPOSIÇÕES - SINTÉTITICO - NOVEMBRO/2020 - COM DESONERAÇÃO - DATA BASE: 15/12/2020</v>
      </c>
      <c r="E8" s="547"/>
      <c r="F8" s="547"/>
      <c r="G8" s="547"/>
      <c r="H8" s="547"/>
      <c r="I8" s="547"/>
      <c r="J8" s="149"/>
      <c r="K8" s="13"/>
      <c r="L8" s="13"/>
      <c r="M8" s="13"/>
      <c r="N8" s="13"/>
      <c r="O8" s="26"/>
    </row>
    <row r="9" spans="1:16" ht="29.25" customHeight="1" x14ac:dyDescent="0.25">
      <c r="A9" s="4"/>
      <c r="B9" s="26"/>
      <c r="C9" s="150"/>
      <c r="D9" s="547" t="str">
        <f>'MEMÓRIA DE CÁLCULO'!B9</f>
        <v>TABELA DE TERRAPLENAGEM, PAVIMENTAÇÃO E OBRAS DE ARTE ESPECIAIS - MAR/18 - COM DESONERAÇÃO (T135) - DATA BASE: 01/03/2018</v>
      </c>
      <c r="E9" s="547"/>
      <c r="F9" s="547"/>
      <c r="G9" s="547"/>
      <c r="H9" s="547"/>
      <c r="I9" s="547"/>
      <c r="J9" s="547"/>
      <c r="K9" s="13"/>
      <c r="L9" s="13"/>
      <c r="M9" s="13"/>
      <c r="N9" s="13"/>
      <c r="O9" s="26"/>
    </row>
    <row r="10" spans="1:16" ht="15.75" thickBot="1" x14ac:dyDescent="0.3">
      <c r="A10" s="78"/>
      <c r="B10" s="29"/>
      <c r="C10" s="151" t="str">
        <f>ORÇAMENTO!C10</f>
        <v xml:space="preserve">DATA </v>
      </c>
      <c r="D10" s="567" t="str">
        <f>ORÇAMENTO!D10</f>
        <v>TERÇA FEIRA, 9 DE FEVEREIRO DE 2021</v>
      </c>
      <c r="E10" s="567"/>
      <c r="F10" s="567"/>
      <c r="G10" s="567"/>
      <c r="H10" s="567"/>
      <c r="I10" s="567"/>
      <c r="J10" s="28"/>
      <c r="K10" s="28"/>
      <c r="L10" s="28"/>
      <c r="M10" s="28"/>
      <c r="N10" s="28"/>
      <c r="O10" s="29"/>
    </row>
    <row r="11" spans="1:16" x14ac:dyDescent="0.25">
      <c r="A11" s="76"/>
      <c r="B11" s="77"/>
      <c r="C11" s="77"/>
      <c r="D11" s="77"/>
      <c r="E11" s="77"/>
      <c r="F11" s="77"/>
      <c r="G11" s="77"/>
      <c r="H11" s="77"/>
      <c r="I11" s="77"/>
    </row>
    <row r="12" spans="1:16" x14ac:dyDescent="0.25">
      <c r="A12" s="554" t="s">
        <v>2</v>
      </c>
      <c r="B12" s="554" t="s">
        <v>320</v>
      </c>
      <c r="C12" s="554"/>
      <c r="D12" s="560" t="s">
        <v>445</v>
      </c>
      <c r="E12" s="561"/>
      <c r="F12" s="561"/>
      <c r="G12" s="561"/>
      <c r="H12" s="561"/>
      <c r="I12" s="561"/>
      <c r="J12" s="561"/>
      <c r="K12" s="561"/>
      <c r="L12" s="561"/>
      <c r="M12" s="561"/>
      <c r="N12" s="561"/>
      <c r="O12" s="562"/>
    </row>
    <row r="13" spans="1:16" x14ac:dyDescent="0.25">
      <c r="A13" s="554"/>
      <c r="B13" s="554"/>
      <c r="C13" s="554"/>
      <c r="D13" s="79" t="s">
        <v>446</v>
      </c>
      <c r="E13" s="79" t="s">
        <v>447</v>
      </c>
      <c r="F13" s="79" t="s">
        <v>448</v>
      </c>
      <c r="G13" s="79" t="s">
        <v>449</v>
      </c>
      <c r="H13" s="79" t="s">
        <v>450</v>
      </c>
      <c r="I13" s="79" t="s">
        <v>451</v>
      </c>
      <c r="J13" s="79" t="s">
        <v>1479</v>
      </c>
      <c r="K13" s="79" t="s">
        <v>1480</v>
      </c>
      <c r="L13" s="79" t="s">
        <v>1481</v>
      </c>
      <c r="M13" s="79" t="s">
        <v>1482</v>
      </c>
      <c r="N13" s="79" t="s">
        <v>1483</v>
      </c>
      <c r="O13" s="79" t="s">
        <v>1484</v>
      </c>
    </row>
    <row r="14" spans="1:16" x14ac:dyDescent="0.25">
      <c r="A14" s="555">
        <f>1</f>
        <v>1</v>
      </c>
      <c r="B14" s="555" t="s">
        <v>10</v>
      </c>
      <c r="C14" s="139">
        <f>ORÇAMENTO!I24</f>
        <v>0</v>
      </c>
      <c r="D14" s="142">
        <v>8.3699999999999997E-2</v>
      </c>
      <c r="E14" s="142">
        <v>8.3299999999999999E-2</v>
      </c>
      <c r="F14" s="142">
        <v>8.3299999999999999E-2</v>
      </c>
      <c r="G14" s="142">
        <v>8.3299999999999999E-2</v>
      </c>
      <c r="H14" s="142">
        <v>8.3299999999999999E-2</v>
      </c>
      <c r="I14" s="142">
        <v>8.3299999999999999E-2</v>
      </c>
      <c r="J14" s="142">
        <v>8.3299999999999999E-2</v>
      </c>
      <c r="K14" s="142">
        <v>8.3299999999999999E-2</v>
      </c>
      <c r="L14" s="142">
        <v>8.3299999999999999E-2</v>
      </c>
      <c r="M14" s="142">
        <v>8.3299999999999999E-2</v>
      </c>
      <c r="N14" s="142">
        <v>8.3299999999999999E-2</v>
      </c>
      <c r="O14" s="142">
        <v>8.3299999999999999E-2</v>
      </c>
      <c r="P14" s="141">
        <f>SUM(D14:O14)</f>
        <v>1.0000000000000002</v>
      </c>
    </row>
    <row r="15" spans="1:16" ht="8.1" customHeight="1" x14ac:dyDescent="0.25">
      <c r="A15" s="555"/>
      <c r="B15" s="556"/>
      <c r="C15" s="49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1"/>
    </row>
    <row r="16" spans="1:16" x14ac:dyDescent="0.25">
      <c r="A16" s="555"/>
      <c r="B16" s="555"/>
      <c r="C16" s="50">
        <f>C14*1.2388</f>
        <v>0</v>
      </c>
      <c r="D16" s="144">
        <f>D14*$C$16</f>
        <v>0</v>
      </c>
      <c r="E16" s="144">
        <f t="shared" ref="E16:O16" si="0">E14*$C$16</f>
        <v>0</v>
      </c>
      <c r="F16" s="144">
        <f t="shared" si="0"/>
        <v>0</v>
      </c>
      <c r="G16" s="144">
        <f t="shared" si="0"/>
        <v>0</v>
      </c>
      <c r="H16" s="144">
        <f t="shared" si="0"/>
        <v>0</v>
      </c>
      <c r="I16" s="144">
        <f t="shared" si="0"/>
        <v>0</v>
      </c>
      <c r="J16" s="144">
        <f t="shared" si="0"/>
        <v>0</v>
      </c>
      <c r="K16" s="144">
        <f t="shared" si="0"/>
        <v>0</v>
      </c>
      <c r="L16" s="144">
        <f t="shared" si="0"/>
        <v>0</v>
      </c>
      <c r="M16" s="144">
        <f t="shared" si="0"/>
        <v>0</v>
      </c>
      <c r="N16" s="144">
        <f t="shared" si="0"/>
        <v>0</v>
      </c>
      <c r="O16" s="144">
        <f t="shared" si="0"/>
        <v>0</v>
      </c>
      <c r="P16" s="141"/>
    </row>
    <row r="17" spans="1:16" x14ac:dyDescent="0.25">
      <c r="A17" s="548">
        <f>A14+1</f>
        <v>2</v>
      </c>
      <c r="B17" s="548" t="str">
        <f>ORÇAMENTO!D26</f>
        <v>TRANSPORTES</v>
      </c>
      <c r="C17" s="139">
        <f>ORÇAMENTO!I29</f>
        <v>0</v>
      </c>
      <c r="D17" s="142">
        <v>8.3699999999999997E-2</v>
      </c>
      <c r="E17" s="142">
        <v>8.3299999999999999E-2</v>
      </c>
      <c r="F17" s="142">
        <v>8.3299999999999999E-2</v>
      </c>
      <c r="G17" s="142">
        <v>8.3299999999999999E-2</v>
      </c>
      <c r="H17" s="142">
        <v>8.3299999999999999E-2</v>
      </c>
      <c r="I17" s="142">
        <v>8.3299999999999999E-2</v>
      </c>
      <c r="J17" s="142">
        <v>8.3299999999999999E-2</v>
      </c>
      <c r="K17" s="142">
        <v>8.3299999999999999E-2</v>
      </c>
      <c r="L17" s="142">
        <v>8.3299999999999999E-2</v>
      </c>
      <c r="M17" s="142">
        <v>8.3299999999999999E-2</v>
      </c>
      <c r="N17" s="142">
        <v>8.3299999999999999E-2</v>
      </c>
      <c r="O17" s="142">
        <v>8.3299999999999999E-2</v>
      </c>
      <c r="P17" s="141">
        <f t="shared" ref="P17:P77" si="1">SUM(D17:O17)</f>
        <v>1.0000000000000002</v>
      </c>
    </row>
    <row r="18" spans="1:16" ht="8.1" customHeight="1" x14ac:dyDescent="0.25">
      <c r="A18" s="549"/>
      <c r="B18" s="557"/>
      <c r="C18" s="51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1"/>
    </row>
    <row r="19" spans="1:16" x14ac:dyDescent="0.25">
      <c r="A19" s="550"/>
      <c r="B19" s="550"/>
      <c r="C19" s="50">
        <f>C17*1.2388</f>
        <v>0</v>
      </c>
      <c r="D19" s="144">
        <f>D17*$C$19</f>
        <v>0</v>
      </c>
      <c r="E19" s="144">
        <f t="shared" ref="E19:O19" si="2">E17*$C$19</f>
        <v>0</v>
      </c>
      <c r="F19" s="144">
        <f t="shared" si="2"/>
        <v>0</v>
      </c>
      <c r="G19" s="144">
        <f t="shared" si="2"/>
        <v>0</v>
      </c>
      <c r="H19" s="144">
        <f t="shared" si="2"/>
        <v>0</v>
      </c>
      <c r="I19" s="144">
        <f t="shared" si="2"/>
        <v>0</v>
      </c>
      <c r="J19" s="144">
        <f t="shared" si="2"/>
        <v>0</v>
      </c>
      <c r="K19" s="144">
        <f t="shared" si="2"/>
        <v>0</v>
      </c>
      <c r="L19" s="144">
        <f t="shared" si="2"/>
        <v>0</v>
      </c>
      <c r="M19" s="144">
        <f t="shared" si="2"/>
        <v>0</v>
      </c>
      <c r="N19" s="144">
        <f t="shared" si="2"/>
        <v>0</v>
      </c>
      <c r="O19" s="144">
        <f t="shared" si="2"/>
        <v>0</v>
      </c>
      <c r="P19" s="141"/>
    </row>
    <row r="20" spans="1:16" x14ac:dyDescent="0.25">
      <c r="A20" s="548">
        <f>A17+1</f>
        <v>3</v>
      </c>
      <c r="B20" s="555" t="str">
        <f>ORÇAMENTO!D31</f>
        <v>SERVICO EM TERRA</v>
      </c>
      <c r="C20" s="139">
        <f>ORÇAMENTO!I37</f>
        <v>0</v>
      </c>
      <c r="D20" s="145">
        <v>0.6</v>
      </c>
      <c r="E20" s="145">
        <v>0.4</v>
      </c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1">
        <f t="shared" si="1"/>
        <v>1</v>
      </c>
    </row>
    <row r="21" spans="1:16" ht="8.1" customHeight="1" x14ac:dyDescent="0.25">
      <c r="A21" s="549"/>
      <c r="B21" s="556"/>
      <c r="C21" s="51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1"/>
    </row>
    <row r="22" spans="1:16" x14ac:dyDescent="0.25">
      <c r="A22" s="550"/>
      <c r="B22" s="555"/>
      <c r="C22" s="50">
        <f>C20*1.2388</f>
        <v>0</v>
      </c>
      <c r="D22" s="144">
        <f>D20*$C$22</f>
        <v>0</v>
      </c>
      <c r="E22" s="144">
        <f>E20*$C$22</f>
        <v>0</v>
      </c>
      <c r="F22" s="144">
        <f t="shared" ref="F22:I22" si="3">F20*$C$22</f>
        <v>0</v>
      </c>
      <c r="G22" s="144">
        <f t="shared" si="3"/>
        <v>0</v>
      </c>
      <c r="H22" s="144">
        <f t="shared" si="3"/>
        <v>0</v>
      </c>
      <c r="I22" s="144">
        <f t="shared" si="3"/>
        <v>0</v>
      </c>
      <c r="J22" s="144">
        <f t="shared" ref="J22:K22" si="4">J20*$C$22</f>
        <v>0</v>
      </c>
      <c r="K22" s="144">
        <f t="shared" si="4"/>
        <v>0</v>
      </c>
      <c r="L22" s="144">
        <f t="shared" ref="L22:O22" si="5">L20*$C$22</f>
        <v>0</v>
      </c>
      <c r="M22" s="144">
        <f t="shared" si="5"/>
        <v>0</v>
      </c>
      <c r="N22" s="144">
        <f t="shared" si="5"/>
        <v>0</v>
      </c>
      <c r="O22" s="144">
        <f t="shared" si="5"/>
        <v>0</v>
      </c>
      <c r="P22" s="141"/>
    </row>
    <row r="23" spans="1:16" x14ac:dyDescent="0.25">
      <c r="A23" s="548">
        <f>A20+1</f>
        <v>4</v>
      </c>
      <c r="B23" s="558" t="str">
        <f>ORÇAMENTO!D39</f>
        <v>FUNDACOES E SONDAGENS</v>
      </c>
      <c r="C23" s="139">
        <f>ORÇAMENTO!I52</f>
        <v>0</v>
      </c>
      <c r="D23" s="146"/>
      <c r="E23" s="146">
        <v>0.6</v>
      </c>
      <c r="F23" s="146">
        <v>0.4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1">
        <f t="shared" si="1"/>
        <v>1</v>
      </c>
    </row>
    <row r="24" spans="1:16" ht="8.1" customHeight="1" x14ac:dyDescent="0.25">
      <c r="A24" s="549"/>
      <c r="B24" s="559"/>
      <c r="C24" s="52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1"/>
    </row>
    <row r="25" spans="1:16" x14ac:dyDescent="0.25">
      <c r="A25" s="550"/>
      <c r="B25" s="558"/>
      <c r="C25" s="50">
        <f>C23*1.2388</f>
        <v>0</v>
      </c>
      <c r="D25" s="144">
        <f t="shared" ref="D25" si="6">D23*$C$25</f>
        <v>0</v>
      </c>
      <c r="E25" s="144">
        <f t="shared" ref="E25:I25" si="7">E23*$C$25</f>
        <v>0</v>
      </c>
      <c r="F25" s="144">
        <f t="shared" si="7"/>
        <v>0</v>
      </c>
      <c r="G25" s="144">
        <f t="shared" si="7"/>
        <v>0</v>
      </c>
      <c r="H25" s="144">
        <f t="shared" si="7"/>
        <v>0</v>
      </c>
      <c r="I25" s="144">
        <f t="shared" si="7"/>
        <v>0</v>
      </c>
      <c r="J25" s="144">
        <f>J23*$C$25</f>
        <v>0</v>
      </c>
      <c r="K25" s="144">
        <f t="shared" ref="K25:O25" si="8">K23*$C$25</f>
        <v>0</v>
      </c>
      <c r="L25" s="144">
        <f t="shared" si="8"/>
        <v>0</v>
      </c>
      <c r="M25" s="144">
        <f t="shared" si="8"/>
        <v>0</v>
      </c>
      <c r="N25" s="144">
        <f t="shared" si="8"/>
        <v>0</v>
      </c>
      <c r="O25" s="144">
        <f t="shared" si="8"/>
        <v>0</v>
      </c>
      <c r="P25" s="141"/>
    </row>
    <row r="26" spans="1:16" x14ac:dyDescent="0.25">
      <c r="A26" s="548">
        <f>A23+1</f>
        <v>5</v>
      </c>
      <c r="B26" s="558" t="str">
        <f>ORÇAMENTO!D54</f>
        <v>ESTRUTURA</v>
      </c>
      <c r="C26" s="139">
        <f>ORÇAMENTO!I68</f>
        <v>0</v>
      </c>
      <c r="D26" s="147"/>
      <c r="E26" s="147">
        <v>0.25</v>
      </c>
      <c r="F26" s="147">
        <v>0.6</v>
      </c>
      <c r="G26" s="147">
        <v>0.15</v>
      </c>
      <c r="H26" s="147"/>
      <c r="I26" s="147"/>
      <c r="J26" s="147"/>
      <c r="K26" s="147"/>
      <c r="L26" s="147"/>
      <c r="M26" s="147"/>
      <c r="N26" s="147"/>
      <c r="O26" s="147"/>
      <c r="P26" s="141">
        <f t="shared" si="1"/>
        <v>1</v>
      </c>
    </row>
    <row r="27" spans="1:16" ht="8.1" customHeight="1" x14ac:dyDescent="0.25">
      <c r="A27" s="549"/>
      <c r="B27" s="559"/>
      <c r="C27" s="52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1"/>
    </row>
    <row r="28" spans="1:16" x14ac:dyDescent="0.25">
      <c r="A28" s="550"/>
      <c r="B28" s="558"/>
      <c r="C28" s="50">
        <f>C26*1.2388</f>
        <v>0</v>
      </c>
      <c r="D28" s="144">
        <f>D26*$C$28</f>
        <v>0</v>
      </c>
      <c r="E28" s="144">
        <f t="shared" ref="E28:I28" si="9">E26*$C$28</f>
        <v>0</v>
      </c>
      <c r="F28" s="144">
        <f t="shared" si="9"/>
        <v>0</v>
      </c>
      <c r="G28" s="144">
        <f t="shared" si="9"/>
        <v>0</v>
      </c>
      <c r="H28" s="144">
        <f t="shared" si="9"/>
        <v>0</v>
      </c>
      <c r="I28" s="144">
        <f t="shared" si="9"/>
        <v>0</v>
      </c>
      <c r="J28" s="144">
        <f>J26*$C$28</f>
        <v>0</v>
      </c>
      <c r="K28" s="144">
        <f t="shared" ref="K28:O28" si="10">K26*$C$28</f>
        <v>0</v>
      </c>
      <c r="L28" s="144">
        <f t="shared" si="10"/>
        <v>0</v>
      </c>
      <c r="M28" s="144">
        <f t="shared" si="10"/>
        <v>0</v>
      </c>
      <c r="N28" s="144">
        <f t="shared" si="10"/>
        <v>0</v>
      </c>
      <c r="O28" s="144">
        <f t="shared" si="10"/>
        <v>0</v>
      </c>
      <c r="P28" s="141"/>
    </row>
    <row r="29" spans="1:16" x14ac:dyDescent="0.25">
      <c r="A29" s="548">
        <f>A26+1</f>
        <v>6</v>
      </c>
      <c r="B29" s="551" t="str">
        <f>ORÇAMENTO!D70</f>
        <v>INST. ELET./TELEFONICA/CABEAMENTO ESTRUTURADO</v>
      </c>
      <c r="C29" s="139">
        <f>ORÇAMENTO!I139</f>
        <v>0</v>
      </c>
      <c r="D29" s="147"/>
      <c r="E29" s="147">
        <v>0.1</v>
      </c>
      <c r="F29" s="147"/>
      <c r="G29" s="147"/>
      <c r="H29" s="147"/>
      <c r="I29" s="147"/>
      <c r="J29" s="147"/>
      <c r="K29" s="147">
        <v>0.25</v>
      </c>
      <c r="L29" s="147">
        <v>0.4</v>
      </c>
      <c r="M29" s="147"/>
      <c r="N29" s="147"/>
      <c r="O29" s="147">
        <v>0.25</v>
      </c>
      <c r="P29" s="141">
        <f t="shared" si="1"/>
        <v>1</v>
      </c>
    </row>
    <row r="30" spans="1:16" ht="8.1" customHeight="1" x14ac:dyDescent="0.25">
      <c r="A30" s="549"/>
      <c r="B30" s="552"/>
      <c r="C30" s="52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1"/>
    </row>
    <row r="31" spans="1:16" ht="27" customHeight="1" x14ac:dyDescent="0.25">
      <c r="A31" s="550"/>
      <c r="B31" s="553"/>
      <c r="C31" s="50">
        <f>C29*1.2388</f>
        <v>0</v>
      </c>
      <c r="D31" s="144">
        <f>D29*$C$31</f>
        <v>0</v>
      </c>
      <c r="E31" s="144">
        <f t="shared" ref="E31:I31" si="11">E29*$C$31</f>
        <v>0</v>
      </c>
      <c r="F31" s="144">
        <f t="shared" si="11"/>
        <v>0</v>
      </c>
      <c r="G31" s="144">
        <f t="shared" si="11"/>
        <v>0</v>
      </c>
      <c r="H31" s="144">
        <f t="shared" si="11"/>
        <v>0</v>
      </c>
      <c r="I31" s="144">
        <f t="shared" si="11"/>
        <v>0</v>
      </c>
      <c r="J31" s="144">
        <f>J29*$C$31</f>
        <v>0</v>
      </c>
      <c r="K31" s="144">
        <f t="shared" ref="K31:O31" si="12">K29*$C$31</f>
        <v>0</v>
      </c>
      <c r="L31" s="144">
        <f t="shared" si="12"/>
        <v>0</v>
      </c>
      <c r="M31" s="144">
        <f t="shared" si="12"/>
        <v>0</v>
      </c>
      <c r="N31" s="144">
        <f t="shared" si="12"/>
        <v>0</v>
      </c>
      <c r="O31" s="144">
        <f t="shared" si="12"/>
        <v>0</v>
      </c>
      <c r="P31" s="141"/>
    </row>
    <row r="32" spans="1:16" x14ac:dyDescent="0.25">
      <c r="A32" s="548">
        <f>A29+1</f>
        <v>7</v>
      </c>
      <c r="B32" s="548" t="str">
        <f>ORÇAMENTO!D141</f>
        <v>INSTALAÇÕES HIDROSSANITÁRIAS</v>
      </c>
      <c r="C32" s="140">
        <f>ORÇAMENTO!I297</f>
        <v>0</v>
      </c>
      <c r="D32" s="147"/>
      <c r="E32" s="147"/>
      <c r="F32" s="147">
        <v>0.1</v>
      </c>
      <c r="G32" s="147"/>
      <c r="H32" s="147"/>
      <c r="I32" s="147"/>
      <c r="J32" s="147"/>
      <c r="K32" s="147">
        <v>0.25</v>
      </c>
      <c r="L32" s="147">
        <v>0.4</v>
      </c>
      <c r="M32" s="147"/>
      <c r="N32" s="147"/>
      <c r="O32" s="147">
        <v>0.25</v>
      </c>
      <c r="P32" s="141">
        <f t="shared" si="1"/>
        <v>1</v>
      </c>
    </row>
    <row r="33" spans="1:16" ht="8.1" customHeight="1" x14ac:dyDescent="0.25">
      <c r="A33" s="549"/>
      <c r="B33" s="549"/>
      <c r="C33" s="5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1"/>
    </row>
    <row r="34" spans="1:16" x14ac:dyDescent="0.25">
      <c r="A34" s="550"/>
      <c r="B34" s="550"/>
      <c r="C34" s="50">
        <f>C32*1.2388</f>
        <v>0</v>
      </c>
      <c r="D34" s="144">
        <f>D32*$C$34</f>
        <v>0</v>
      </c>
      <c r="E34" s="144">
        <f t="shared" ref="E34:I34" si="13">E32*$C$34</f>
        <v>0</v>
      </c>
      <c r="F34" s="144">
        <f t="shared" si="13"/>
        <v>0</v>
      </c>
      <c r="G34" s="144">
        <f t="shared" si="13"/>
        <v>0</v>
      </c>
      <c r="H34" s="144">
        <f t="shared" si="13"/>
        <v>0</v>
      </c>
      <c r="I34" s="144">
        <f t="shared" si="13"/>
        <v>0</v>
      </c>
      <c r="J34" s="144">
        <f>J32*$C$34</f>
        <v>0</v>
      </c>
      <c r="K34" s="144">
        <f t="shared" ref="K34:O34" si="14">K32*$C$34</f>
        <v>0</v>
      </c>
      <c r="L34" s="144">
        <f t="shared" si="14"/>
        <v>0</v>
      </c>
      <c r="M34" s="144">
        <f t="shared" si="14"/>
        <v>0</v>
      </c>
      <c r="N34" s="144">
        <f t="shared" si="14"/>
        <v>0</v>
      </c>
      <c r="O34" s="144">
        <f t="shared" si="14"/>
        <v>0</v>
      </c>
      <c r="P34" s="141"/>
    </row>
    <row r="35" spans="1:16" x14ac:dyDescent="0.25">
      <c r="A35" s="548">
        <f>A32+1</f>
        <v>8</v>
      </c>
      <c r="B35" s="558" t="str">
        <f>ORÇAMENTO!D299</f>
        <v>INSTALACOES ESPECIAIS</v>
      </c>
      <c r="C35" s="139">
        <f>ORÇAMENTO!I316</f>
        <v>0</v>
      </c>
      <c r="D35" s="147"/>
      <c r="E35" s="147"/>
      <c r="F35" s="147"/>
      <c r="G35" s="147"/>
      <c r="H35" s="147"/>
      <c r="I35" s="147"/>
      <c r="J35" s="147"/>
      <c r="K35" s="147"/>
      <c r="L35" s="147">
        <v>1</v>
      </c>
      <c r="M35" s="147"/>
      <c r="N35" s="147"/>
      <c r="O35" s="147"/>
      <c r="P35" s="141">
        <f t="shared" si="1"/>
        <v>1</v>
      </c>
    </row>
    <row r="36" spans="1:16" ht="8.1" customHeight="1" x14ac:dyDescent="0.25">
      <c r="A36" s="549"/>
      <c r="B36" s="559"/>
      <c r="C36" s="52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1"/>
    </row>
    <row r="37" spans="1:16" x14ac:dyDescent="0.25">
      <c r="A37" s="550"/>
      <c r="B37" s="558"/>
      <c r="C37" s="50">
        <f>C35*1.2388</f>
        <v>0</v>
      </c>
      <c r="D37" s="144">
        <f>D35*$C$37</f>
        <v>0</v>
      </c>
      <c r="E37" s="144">
        <f t="shared" ref="E37:I37" si="15">E35*$C$37</f>
        <v>0</v>
      </c>
      <c r="F37" s="144">
        <f t="shared" si="15"/>
        <v>0</v>
      </c>
      <c r="G37" s="144">
        <f t="shared" si="15"/>
        <v>0</v>
      </c>
      <c r="H37" s="144">
        <f t="shared" si="15"/>
        <v>0</v>
      </c>
      <c r="I37" s="144">
        <f t="shared" si="15"/>
        <v>0</v>
      </c>
      <c r="J37" s="144">
        <f>J35*$C$37</f>
        <v>0</v>
      </c>
      <c r="K37" s="144">
        <f t="shared" ref="K37:O37" si="16">K35*$C$37</f>
        <v>0</v>
      </c>
      <c r="L37" s="144">
        <f t="shared" si="16"/>
        <v>0</v>
      </c>
      <c r="M37" s="144">
        <f t="shared" si="16"/>
        <v>0</v>
      </c>
      <c r="N37" s="144">
        <f t="shared" si="16"/>
        <v>0</v>
      </c>
      <c r="O37" s="144">
        <f t="shared" si="16"/>
        <v>0</v>
      </c>
      <c r="P37" s="141"/>
    </row>
    <row r="38" spans="1:16" x14ac:dyDescent="0.25">
      <c r="A38" s="548">
        <f>A35+1</f>
        <v>9</v>
      </c>
      <c r="B38" s="558" t="str">
        <f>ORÇAMENTO!D318</f>
        <v>ALVENARIAS E DIVISORIAS</v>
      </c>
      <c r="C38" s="139">
        <f>ORÇAMENTO!I322</f>
        <v>0</v>
      </c>
      <c r="D38" s="147"/>
      <c r="E38" s="147">
        <v>0.3</v>
      </c>
      <c r="F38" s="147">
        <v>0.35</v>
      </c>
      <c r="G38" s="147">
        <v>0.35</v>
      </c>
      <c r="H38" s="147"/>
      <c r="I38" s="147"/>
      <c r="J38" s="147"/>
      <c r="K38" s="147"/>
      <c r="L38" s="147"/>
      <c r="M38" s="147"/>
      <c r="N38" s="147"/>
      <c r="O38" s="147"/>
      <c r="P38" s="141">
        <f t="shared" si="1"/>
        <v>0.99999999999999989</v>
      </c>
    </row>
    <row r="39" spans="1:16" ht="8.1" customHeight="1" x14ac:dyDescent="0.25">
      <c r="A39" s="549"/>
      <c r="B39" s="559"/>
      <c r="C39" s="52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1"/>
    </row>
    <row r="40" spans="1:16" x14ac:dyDescent="0.25">
      <c r="A40" s="550"/>
      <c r="B40" s="558"/>
      <c r="C40" s="50">
        <f>C38*1.2388</f>
        <v>0</v>
      </c>
      <c r="D40" s="144">
        <f>D38*$C$40</f>
        <v>0</v>
      </c>
      <c r="E40" s="144">
        <f t="shared" ref="E40:O40" si="17">E38*$C$40</f>
        <v>0</v>
      </c>
      <c r="F40" s="144">
        <f t="shared" si="17"/>
        <v>0</v>
      </c>
      <c r="G40" s="144">
        <f t="shared" si="17"/>
        <v>0</v>
      </c>
      <c r="H40" s="144">
        <f t="shared" si="17"/>
        <v>0</v>
      </c>
      <c r="I40" s="144">
        <f t="shared" si="17"/>
        <v>0</v>
      </c>
      <c r="J40" s="144">
        <f t="shared" si="17"/>
        <v>0</v>
      </c>
      <c r="K40" s="144">
        <f t="shared" si="17"/>
        <v>0</v>
      </c>
      <c r="L40" s="144">
        <f t="shared" si="17"/>
        <v>0</v>
      </c>
      <c r="M40" s="144">
        <f t="shared" si="17"/>
        <v>0</v>
      </c>
      <c r="N40" s="144">
        <f t="shared" si="17"/>
        <v>0</v>
      </c>
      <c r="O40" s="144">
        <f t="shared" si="17"/>
        <v>0</v>
      </c>
      <c r="P40" s="141"/>
    </row>
    <row r="41" spans="1:16" x14ac:dyDescent="0.25">
      <c r="A41" s="548">
        <f>A38+1</f>
        <v>10</v>
      </c>
      <c r="B41" s="558" t="str">
        <f>ORÇAMENTO!D324</f>
        <v>IMPERMEABILIZACAO</v>
      </c>
      <c r="C41" s="139">
        <f>ORÇAMENTO!I328</f>
        <v>0</v>
      </c>
      <c r="D41" s="147"/>
      <c r="E41" s="147"/>
      <c r="F41" s="147">
        <v>1</v>
      </c>
      <c r="G41" s="147"/>
      <c r="H41" s="147"/>
      <c r="I41" s="147"/>
      <c r="J41" s="147"/>
      <c r="K41" s="147"/>
      <c r="L41" s="147"/>
      <c r="M41" s="147"/>
      <c r="N41" s="147"/>
      <c r="O41" s="147"/>
      <c r="P41" s="141">
        <f t="shared" si="1"/>
        <v>1</v>
      </c>
    </row>
    <row r="42" spans="1:16" ht="8.1" customHeight="1" x14ac:dyDescent="0.25">
      <c r="A42" s="549"/>
      <c r="B42" s="559"/>
      <c r="C42" s="52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1"/>
    </row>
    <row r="43" spans="1:16" x14ac:dyDescent="0.25">
      <c r="A43" s="550"/>
      <c r="B43" s="558"/>
      <c r="C43" s="50">
        <f>C41*1.2388</f>
        <v>0</v>
      </c>
      <c r="D43" s="144">
        <f>D41*$C$43</f>
        <v>0</v>
      </c>
      <c r="E43" s="144">
        <f>E41*$C$43</f>
        <v>0</v>
      </c>
      <c r="F43" s="144">
        <f t="shared" ref="F43:O43" si="18">F41*$C$43</f>
        <v>0</v>
      </c>
      <c r="G43" s="144">
        <f t="shared" si="18"/>
        <v>0</v>
      </c>
      <c r="H43" s="144">
        <f t="shared" si="18"/>
        <v>0</v>
      </c>
      <c r="I43" s="144">
        <f t="shared" si="18"/>
        <v>0</v>
      </c>
      <c r="J43" s="144">
        <f t="shared" si="18"/>
        <v>0</v>
      </c>
      <c r="K43" s="144">
        <f t="shared" si="18"/>
        <v>0</v>
      </c>
      <c r="L43" s="144">
        <f t="shared" si="18"/>
        <v>0</v>
      </c>
      <c r="M43" s="144">
        <f t="shared" si="18"/>
        <v>0</v>
      </c>
      <c r="N43" s="144">
        <f t="shared" si="18"/>
        <v>0</v>
      </c>
      <c r="O43" s="144">
        <f t="shared" si="18"/>
        <v>0</v>
      </c>
      <c r="P43" s="141"/>
    </row>
    <row r="44" spans="1:16" x14ac:dyDescent="0.25">
      <c r="A44" s="548">
        <f>A41+1</f>
        <v>11</v>
      </c>
      <c r="B44" s="558" t="str">
        <f>ORÇAMENTO!D330</f>
        <v>ESTRUTURA DE MADEIRA</v>
      </c>
      <c r="C44" s="139">
        <f>ORÇAMENTO!I332</f>
        <v>0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>
        <v>1</v>
      </c>
      <c r="N44" s="147"/>
      <c r="O44" s="147"/>
      <c r="P44" s="141">
        <f t="shared" si="1"/>
        <v>1</v>
      </c>
    </row>
    <row r="45" spans="1:16" ht="8.1" customHeight="1" x14ac:dyDescent="0.25">
      <c r="A45" s="549"/>
      <c r="B45" s="559"/>
      <c r="C45" s="52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1"/>
    </row>
    <row r="46" spans="1:16" x14ac:dyDescent="0.25">
      <c r="A46" s="550"/>
      <c r="B46" s="558"/>
      <c r="C46" s="50">
        <f>C44*1.2388</f>
        <v>0</v>
      </c>
      <c r="D46" s="144">
        <f>D44*$C$46</f>
        <v>0</v>
      </c>
      <c r="E46" s="144">
        <f t="shared" ref="E46:I46" si="19">E44*$C$46</f>
        <v>0</v>
      </c>
      <c r="F46" s="144">
        <f t="shared" si="19"/>
        <v>0</v>
      </c>
      <c r="G46" s="144">
        <f t="shared" si="19"/>
        <v>0</v>
      </c>
      <c r="H46" s="144">
        <f t="shared" si="19"/>
        <v>0</v>
      </c>
      <c r="I46" s="144">
        <f t="shared" si="19"/>
        <v>0</v>
      </c>
      <c r="J46" s="144">
        <f>J44*$C$46</f>
        <v>0</v>
      </c>
      <c r="K46" s="144">
        <f t="shared" ref="K46:O46" si="20">K44*$C$46</f>
        <v>0</v>
      </c>
      <c r="L46" s="144">
        <f t="shared" si="20"/>
        <v>0</v>
      </c>
      <c r="M46" s="144">
        <f t="shared" si="20"/>
        <v>0</v>
      </c>
      <c r="N46" s="144">
        <f t="shared" si="20"/>
        <v>0</v>
      </c>
      <c r="O46" s="144">
        <f t="shared" si="20"/>
        <v>0</v>
      </c>
      <c r="P46" s="141"/>
    </row>
    <row r="47" spans="1:16" x14ac:dyDescent="0.25">
      <c r="A47" s="548">
        <f>A44+1</f>
        <v>12</v>
      </c>
      <c r="B47" s="551" t="str">
        <f>ORÇAMENTO!D334</f>
        <v>ESTRUTURAS METALICAS</v>
      </c>
      <c r="C47" s="139">
        <f>ORÇAMENTO!I338</f>
        <v>0</v>
      </c>
      <c r="D47" s="148"/>
      <c r="E47" s="146"/>
      <c r="F47" s="146"/>
      <c r="G47" s="146"/>
      <c r="H47" s="146"/>
      <c r="I47" s="146"/>
      <c r="J47" s="148"/>
      <c r="K47" s="146"/>
      <c r="L47" s="146"/>
      <c r="M47" s="146">
        <v>0.5</v>
      </c>
      <c r="N47" s="146">
        <v>0.5</v>
      </c>
      <c r="O47" s="146"/>
      <c r="P47" s="141">
        <f t="shared" si="1"/>
        <v>1</v>
      </c>
    </row>
    <row r="48" spans="1:16" ht="8.1" customHeight="1" x14ac:dyDescent="0.25">
      <c r="A48" s="549"/>
      <c r="B48" s="552"/>
      <c r="C48" s="52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1"/>
    </row>
    <row r="49" spans="1:16" x14ac:dyDescent="0.25">
      <c r="A49" s="550"/>
      <c r="B49" s="553"/>
      <c r="C49" s="50">
        <f>C47*1.2388</f>
        <v>0</v>
      </c>
      <c r="D49" s="144">
        <f>D47*$C$49</f>
        <v>0</v>
      </c>
      <c r="E49" s="144">
        <f t="shared" ref="E49:I49" si="21">E47*$C$49</f>
        <v>0</v>
      </c>
      <c r="F49" s="144">
        <f t="shared" si="21"/>
        <v>0</v>
      </c>
      <c r="G49" s="144">
        <f t="shared" si="21"/>
        <v>0</v>
      </c>
      <c r="H49" s="144">
        <f t="shared" si="21"/>
        <v>0</v>
      </c>
      <c r="I49" s="144">
        <f t="shared" si="21"/>
        <v>0</v>
      </c>
      <c r="J49" s="144">
        <f>J47*$C$49</f>
        <v>0</v>
      </c>
      <c r="K49" s="144">
        <f t="shared" ref="K49:O49" si="22">K47*$C$49</f>
        <v>0</v>
      </c>
      <c r="L49" s="144">
        <f t="shared" si="22"/>
        <v>0</v>
      </c>
      <c r="M49" s="144">
        <f t="shared" si="22"/>
        <v>0</v>
      </c>
      <c r="N49" s="144">
        <f t="shared" si="22"/>
        <v>0</v>
      </c>
      <c r="O49" s="144">
        <f t="shared" si="22"/>
        <v>0</v>
      </c>
      <c r="P49" s="141"/>
    </row>
    <row r="50" spans="1:16" x14ac:dyDescent="0.25">
      <c r="A50" s="548">
        <f>A47+1</f>
        <v>13</v>
      </c>
      <c r="B50" s="558" t="str">
        <f>ORÇAMENTO!D340</f>
        <v>COBERTURAS</v>
      </c>
      <c r="C50" s="139">
        <f>ORÇAMENTO!I346</f>
        <v>0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>
        <v>1</v>
      </c>
      <c r="N50" s="147"/>
      <c r="O50" s="147"/>
      <c r="P50" s="141">
        <f t="shared" si="1"/>
        <v>1</v>
      </c>
    </row>
    <row r="51" spans="1:16" ht="8.1" customHeight="1" x14ac:dyDescent="0.25">
      <c r="A51" s="549"/>
      <c r="B51" s="559"/>
      <c r="C51" s="52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1"/>
    </row>
    <row r="52" spans="1:16" x14ac:dyDescent="0.25">
      <c r="A52" s="550"/>
      <c r="B52" s="558"/>
      <c r="C52" s="50">
        <f>C50*1.2388</f>
        <v>0</v>
      </c>
      <c r="D52" s="144">
        <f>D50*$C$52</f>
        <v>0</v>
      </c>
      <c r="E52" s="144">
        <f t="shared" ref="E52:I52" si="23">E50*$C$52</f>
        <v>0</v>
      </c>
      <c r="F52" s="144">
        <f t="shared" si="23"/>
        <v>0</v>
      </c>
      <c r="G52" s="144">
        <f t="shared" si="23"/>
        <v>0</v>
      </c>
      <c r="H52" s="144">
        <f t="shared" si="23"/>
        <v>0</v>
      </c>
      <c r="I52" s="144">
        <f t="shared" si="23"/>
        <v>0</v>
      </c>
      <c r="J52" s="144">
        <f>J50*$C$52</f>
        <v>0</v>
      </c>
      <c r="K52" s="144">
        <f t="shared" ref="K52:O52" si="24">K50*$C$52</f>
        <v>0</v>
      </c>
      <c r="L52" s="144">
        <f t="shared" si="24"/>
        <v>0</v>
      </c>
      <c r="M52" s="144">
        <f t="shared" si="24"/>
        <v>0</v>
      </c>
      <c r="N52" s="144">
        <f t="shared" si="24"/>
        <v>0</v>
      </c>
      <c r="O52" s="144">
        <f t="shared" si="24"/>
        <v>0</v>
      </c>
      <c r="P52" s="141"/>
    </row>
    <row r="53" spans="1:16" x14ac:dyDescent="0.25">
      <c r="A53" s="548">
        <f>A50+1</f>
        <v>14</v>
      </c>
      <c r="B53" s="558" t="str">
        <f>ORÇAMENTO!D348</f>
        <v xml:space="preserve">ESQUADRIAS DE MADEIRA </v>
      </c>
      <c r="C53" s="139">
        <f>ORÇAMENTO!I357</f>
        <v>0</v>
      </c>
      <c r="D53" s="147"/>
      <c r="E53" s="147"/>
      <c r="F53" s="147"/>
      <c r="G53" s="147"/>
      <c r="H53" s="147">
        <v>0.4</v>
      </c>
      <c r="I53" s="147"/>
      <c r="J53" s="147"/>
      <c r="K53" s="147"/>
      <c r="L53" s="147">
        <v>0.6</v>
      </c>
      <c r="M53" s="147"/>
      <c r="N53" s="147"/>
      <c r="O53" s="147"/>
      <c r="P53" s="141">
        <f t="shared" si="1"/>
        <v>1</v>
      </c>
    </row>
    <row r="54" spans="1:16" ht="8.1" customHeight="1" x14ac:dyDescent="0.25">
      <c r="A54" s="549"/>
      <c r="B54" s="559"/>
      <c r="C54" s="52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1"/>
    </row>
    <row r="55" spans="1:16" x14ac:dyDescent="0.25">
      <c r="A55" s="550"/>
      <c r="B55" s="558"/>
      <c r="C55" s="50">
        <f>C53*1.2388</f>
        <v>0</v>
      </c>
      <c r="D55" s="144">
        <f>D53*$C$55</f>
        <v>0</v>
      </c>
      <c r="E55" s="144">
        <f t="shared" ref="E55:I55" si="25">E53*$C$55</f>
        <v>0</v>
      </c>
      <c r="F55" s="144">
        <f t="shared" si="25"/>
        <v>0</v>
      </c>
      <c r="G55" s="144">
        <f t="shared" si="25"/>
        <v>0</v>
      </c>
      <c r="H55" s="144">
        <f t="shared" si="25"/>
        <v>0</v>
      </c>
      <c r="I55" s="144">
        <f t="shared" si="25"/>
        <v>0</v>
      </c>
      <c r="J55" s="144">
        <f>J53*$C$55</f>
        <v>0</v>
      </c>
      <c r="K55" s="144">
        <f t="shared" ref="K55:O55" si="26">K53*$C$55</f>
        <v>0</v>
      </c>
      <c r="L55" s="144">
        <f t="shared" si="26"/>
        <v>0</v>
      </c>
      <c r="M55" s="144">
        <f t="shared" si="26"/>
        <v>0</v>
      </c>
      <c r="N55" s="144">
        <f t="shared" si="26"/>
        <v>0</v>
      </c>
      <c r="O55" s="144">
        <f t="shared" si="26"/>
        <v>0</v>
      </c>
      <c r="P55" s="141"/>
    </row>
    <row r="56" spans="1:16" x14ac:dyDescent="0.25">
      <c r="A56" s="548">
        <f>A53+1</f>
        <v>15</v>
      </c>
      <c r="B56" s="551" t="str">
        <f>ORÇAMENTO!D359</f>
        <v>ESQUADRIAS METÁLICAS</v>
      </c>
      <c r="C56" s="139">
        <f>ORÇAMENTO!I367</f>
        <v>0</v>
      </c>
      <c r="D56" s="147"/>
      <c r="E56" s="147"/>
      <c r="F56" s="147"/>
      <c r="G56" s="147"/>
      <c r="H56" s="147">
        <v>0.4</v>
      </c>
      <c r="I56" s="147"/>
      <c r="J56" s="147"/>
      <c r="K56" s="147"/>
      <c r="L56" s="147">
        <v>0.6</v>
      </c>
      <c r="M56" s="147"/>
      <c r="N56" s="147"/>
      <c r="O56" s="147"/>
      <c r="P56" s="141">
        <f t="shared" si="1"/>
        <v>1</v>
      </c>
    </row>
    <row r="57" spans="1:16" ht="8.1" customHeight="1" x14ac:dyDescent="0.25">
      <c r="A57" s="549"/>
      <c r="B57" s="552"/>
      <c r="C57" s="52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1"/>
    </row>
    <row r="58" spans="1:16" x14ac:dyDescent="0.25">
      <c r="A58" s="550"/>
      <c r="B58" s="553"/>
      <c r="C58" s="50">
        <f>C56*1.2388</f>
        <v>0</v>
      </c>
      <c r="D58" s="144">
        <f>D56*$C$58</f>
        <v>0</v>
      </c>
      <c r="E58" s="144">
        <f t="shared" ref="E58:I58" si="27">E56*$C$58</f>
        <v>0</v>
      </c>
      <c r="F58" s="144">
        <f t="shared" si="27"/>
        <v>0</v>
      </c>
      <c r="G58" s="144">
        <f t="shared" si="27"/>
        <v>0</v>
      </c>
      <c r="H58" s="144">
        <f t="shared" si="27"/>
        <v>0</v>
      </c>
      <c r="I58" s="144">
        <f t="shared" si="27"/>
        <v>0</v>
      </c>
      <c r="J58" s="144">
        <f>J56*$C$58</f>
        <v>0</v>
      </c>
      <c r="K58" s="144">
        <f t="shared" ref="K58:O58" si="28">K56*$C$58</f>
        <v>0</v>
      </c>
      <c r="L58" s="144">
        <f t="shared" si="28"/>
        <v>0</v>
      </c>
      <c r="M58" s="144">
        <f t="shared" si="28"/>
        <v>0</v>
      </c>
      <c r="N58" s="144">
        <f t="shared" si="28"/>
        <v>0</v>
      </c>
      <c r="O58" s="144">
        <f t="shared" si="28"/>
        <v>0</v>
      </c>
      <c r="P58" s="141"/>
    </row>
    <row r="59" spans="1:16" x14ac:dyDescent="0.25">
      <c r="A59" s="548">
        <f>A56+1</f>
        <v>16</v>
      </c>
      <c r="B59" s="558" t="str">
        <f>ORÇAMENTO!D369</f>
        <v>VIDROS</v>
      </c>
      <c r="C59" s="139">
        <f>ORÇAMENTO!I373</f>
        <v>0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>
        <v>1</v>
      </c>
      <c r="N59" s="147"/>
      <c r="O59" s="147"/>
      <c r="P59" s="141">
        <f t="shared" si="1"/>
        <v>1</v>
      </c>
    </row>
    <row r="60" spans="1:16" ht="8.1" customHeight="1" x14ac:dyDescent="0.25">
      <c r="A60" s="549"/>
      <c r="B60" s="559"/>
      <c r="C60" s="52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1"/>
    </row>
    <row r="61" spans="1:16" x14ac:dyDescent="0.25">
      <c r="A61" s="550"/>
      <c r="B61" s="558"/>
      <c r="C61" s="50">
        <f>C59*1.2388</f>
        <v>0</v>
      </c>
      <c r="D61" s="144">
        <f>D59*$C$61</f>
        <v>0</v>
      </c>
      <c r="E61" s="144">
        <f t="shared" ref="E61:I61" si="29">E59*$C$61</f>
        <v>0</v>
      </c>
      <c r="F61" s="144">
        <f t="shared" si="29"/>
        <v>0</v>
      </c>
      <c r="G61" s="144">
        <f t="shared" si="29"/>
        <v>0</v>
      </c>
      <c r="H61" s="144">
        <f t="shared" si="29"/>
        <v>0</v>
      </c>
      <c r="I61" s="144">
        <f t="shared" si="29"/>
        <v>0</v>
      </c>
      <c r="J61" s="144">
        <f>J59*$C$61</f>
        <v>0</v>
      </c>
      <c r="K61" s="144">
        <f t="shared" ref="K61:O61" si="30">K59*$C$61</f>
        <v>0</v>
      </c>
      <c r="L61" s="144">
        <f t="shared" si="30"/>
        <v>0</v>
      </c>
      <c r="M61" s="144">
        <f t="shared" si="30"/>
        <v>0</v>
      </c>
      <c r="N61" s="144">
        <f t="shared" si="30"/>
        <v>0</v>
      </c>
      <c r="O61" s="144">
        <f t="shared" si="30"/>
        <v>0</v>
      </c>
      <c r="P61" s="141"/>
    </row>
    <row r="62" spans="1:16" x14ac:dyDescent="0.25">
      <c r="A62" s="548">
        <f>A59+1</f>
        <v>17</v>
      </c>
      <c r="B62" s="558" t="str">
        <f>ORÇAMENTO!D375</f>
        <v>REVESTIMENTO DE PAREDES</v>
      </c>
      <c r="C62" s="139">
        <f>ORÇAMENTO!I381</f>
        <v>0</v>
      </c>
      <c r="D62" s="147"/>
      <c r="E62" s="147"/>
      <c r="F62" s="147"/>
      <c r="G62" s="147"/>
      <c r="H62" s="147">
        <v>0.4</v>
      </c>
      <c r="I62" s="147">
        <v>0.4</v>
      </c>
      <c r="J62" s="147">
        <v>0.2</v>
      </c>
      <c r="K62" s="147"/>
      <c r="L62" s="147"/>
      <c r="M62" s="147"/>
      <c r="N62" s="147"/>
      <c r="O62" s="147"/>
      <c r="P62" s="141">
        <f t="shared" si="1"/>
        <v>1</v>
      </c>
    </row>
    <row r="63" spans="1:16" ht="8.1" customHeight="1" x14ac:dyDescent="0.25">
      <c r="A63" s="549"/>
      <c r="B63" s="559"/>
      <c r="C63" s="52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1"/>
    </row>
    <row r="64" spans="1:16" x14ac:dyDescent="0.25">
      <c r="A64" s="550"/>
      <c r="B64" s="558"/>
      <c r="C64" s="50">
        <f>C62*1.2388</f>
        <v>0</v>
      </c>
      <c r="D64" s="144">
        <f>D62*$C$64</f>
        <v>0</v>
      </c>
      <c r="E64" s="144">
        <f t="shared" ref="E64:I64" si="31">E62*$C$64</f>
        <v>0</v>
      </c>
      <c r="F64" s="144">
        <f t="shared" si="31"/>
        <v>0</v>
      </c>
      <c r="G64" s="144">
        <f t="shared" si="31"/>
        <v>0</v>
      </c>
      <c r="H64" s="144">
        <f t="shared" si="31"/>
        <v>0</v>
      </c>
      <c r="I64" s="144">
        <f t="shared" si="31"/>
        <v>0</v>
      </c>
      <c r="J64" s="144">
        <f>J62*$C$64</f>
        <v>0</v>
      </c>
      <c r="K64" s="144">
        <f t="shared" ref="K64:O64" si="32">K62*$C$64</f>
        <v>0</v>
      </c>
      <c r="L64" s="144">
        <f t="shared" si="32"/>
        <v>0</v>
      </c>
      <c r="M64" s="144">
        <f t="shared" si="32"/>
        <v>0</v>
      </c>
      <c r="N64" s="144">
        <f t="shared" si="32"/>
        <v>0</v>
      </c>
      <c r="O64" s="144">
        <f t="shared" si="32"/>
        <v>0</v>
      </c>
      <c r="P64" s="141"/>
    </row>
    <row r="65" spans="1:16" x14ac:dyDescent="0.25">
      <c r="A65" s="548">
        <f>A62+1</f>
        <v>18</v>
      </c>
      <c r="B65" s="551" t="str">
        <f>ORÇAMENTO!D383</f>
        <v>FORROS</v>
      </c>
      <c r="C65" s="139">
        <f>ORÇAMENTO!I386</f>
        <v>0</v>
      </c>
      <c r="D65" s="147"/>
      <c r="E65" s="147"/>
      <c r="F65" s="147"/>
      <c r="G65" s="147"/>
      <c r="H65" s="147"/>
      <c r="I65" s="147"/>
      <c r="J65" s="147">
        <v>1</v>
      </c>
      <c r="K65" s="147"/>
      <c r="L65" s="147"/>
      <c r="M65" s="147"/>
      <c r="N65" s="147"/>
      <c r="O65" s="147"/>
      <c r="P65" s="141">
        <f t="shared" si="1"/>
        <v>1</v>
      </c>
    </row>
    <row r="66" spans="1:16" ht="8.1" customHeight="1" x14ac:dyDescent="0.25">
      <c r="A66" s="549"/>
      <c r="B66" s="552"/>
      <c r="C66" s="52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1"/>
    </row>
    <row r="67" spans="1:16" x14ac:dyDescent="0.25">
      <c r="A67" s="550"/>
      <c r="B67" s="553"/>
      <c r="C67" s="50">
        <f>C65*1.2388</f>
        <v>0</v>
      </c>
      <c r="D67" s="144">
        <f>D65*$C$67</f>
        <v>0</v>
      </c>
      <c r="E67" s="144">
        <f t="shared" ref="E67:I67" si="33">E65*$C$67</f>
        <v>0</v>
      </c>
      <c r="F67" s="144">
        <f t="shared" si="33"/>
        <v>0</v>
      </c>
      <c r="G67" s="144">
        <f t="shared" si="33"/>
        <v>0</v>
      </c>
      <c r="H67" s="144">
        <f t="shared" si="33"/>
        <v>0</v>
      </c>
      <c r="I67" s="144">
        <f t="shared" si="33"/>
        <v>0</v>
      </c>
      <c r="J67" s="144">
        <f>J65*$C$67</f>
        <v>0</v>
      </c>
      <c r="K67" s="144">
        <f t="shared" ref="K67:O67" si="34">K65*$C$67</f>
        <v>0</v>
      </c>
      <c r="L67" s="144">
        <f t="shared" si="34"/>
        <v>0</v>
      </c>
      <c r="M67" s="144">
        <f t="shared" si="34"/>
        <v>0</v>
      </c>
      <c r="N67" s="144">
        <f t="shared" si="34"/>
        <v>0</v>
      </c>
      <c r="O67" s="144">
        <f t="shared" si="34"/>
        <v>0</v>
      </c>
      <c r="P67" s="141"/>
    </row>
    <row r="68" spans="1:16" x14ac:dyDescent="0.25">
      <c r="A68" s="548">
        <f>A65+1</f>
        <v>19</v>
      </c>
      <c r="B68" s="558" t="str">
        <f>ORÇAMENTO!D388</f>
        <v>REVESTIMENTO DE PISO</v>
      </c>
      <c r="C68" s="139">
        <f>ORÇAMENTO!I394</f>
        <v>0</v>
      </c>
      <c r="D68" s="147"/>
      <c r="E68" s="147"/>
      <c r="F68" s="147"/>
      <c r="G68" s="147">
        <v>0.15</v>
      </c>
      <c r="H68" s="147">
        <v>0.15</v>
      </c>
      <c r="I68" s="147"/>
      <c r="J68" s="147"/>
      <c r="K68" s="147">
        <v>0.3</v>
      </c>
      <c r="L68" s="147">
        <v>0.4</v>
      </c>
      <c r="M68" s="147"/>
      <c r="N68" s="147"/>
      <c r="O68" s="147"/>
      <c r="P68" s="141">
        <f t="shared" si="1"/>
        <v>1</v>
      </c>
    </row>
    <row r="69" spans="1:16" ht="8.1" customHeight="1" x14ac:dyDescent="0.25">
      <c r="A69" s="549"/>
      <c r="B69" s="559"/>
      <c r="C69" s="52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1"/>
    </row>
    <row r="70" spans="1:16" x14ac:dyDescent="0.25">
      <c r="A70" s="550"/>
      <c r="B70" s="558"/>
      <c r="C70" s="50">
        <f>C68*1.2388</f>
        <v>0</v>
      </c>
      <c r="D70" s="144">
        <f>D68*$C$70</f>
        <v>0</v>
      </c>
      <c r="E70" s="144">
        <f t="shared" ref="E70:I70" si="35">E68*$C$70</f>
        <v>0</v>
      </c>
      <c r="F70" s="144">
        <f t="shared" si="35"/>
        <v>0</v>
      </c>
      <c r="G70" s="144">
        <f t="shared" si="35"/>
        <v>0</v>
      </c>
      <c r="H70" s="144">
        <f t="shared" si="35"/>
        <v>0</v>
      </c>
      <c r="I70" s="144">
        <f t="shared" si="35"/>
        <v>0</v>
      </c>
      <c r="J70" s="144">
        <f>J68*$C$70</f>
        <v>0</v>
      </c>
      <c r="K70" s="144">
        <f t="shared" ref="K70:O70" si="36">K68*$C$70</f>
        <v>0</v>
      </c>
      <c r="L70" s="144">
        <f t="shared" si="36"/>
        <v>0</v>
      </c>
      <c r="M70" s="144">
        <f t="shared" si="36"/>
        <v>0</v>
      </c>
      <c r="N70" s="144">
        <f t="shared" si="36"/>
        <v>0</v>
      </c>
      <c r="O70" s="144">
        <f t="shared" si="36"/>
        <v>0</v>
      </c>
      <c r="P70" s="141"/>
    </row>
    <row r="71" spans="1:16" x14ac:dyDescent="0.25">
      <c r="A71" s="548">
        <f>A68+1</f>
        <v>20</v>
      </c>
      <c r="B71" s="558" t="str">
        <f>ORÇAMENTO!D396</f>
        <v>FERRAGENS</v>
      </c>
      <c r="C71" s="139">
        <f>ORÇAMENTO!I406</f>
        <v>0</v>
      </c>
      <c r="D71" s="147"/>
      <c r="E71" s="147"/>
      <c r="F71" s="147"/>
      <c r="G71" s="147"/>
      <c r="H71" s="147"/>
      <c r="I71" s="147">
        <v>1</v>
      </c>
      <c r="J71" s="147"/>
      <c r="K71" s="147"/>
      <c r="L71" s="147"/>
      <c r="M71" s="147"/>
      <c r="N71" s="147"/>
      <c r="O71" s="147"/>
      <c r="P71" s="141">
        <f t="shared" si="1"/>
        <v>1</v>
      </c>
    </row>
    <row r="72" spans="1:16" ht="8.1" customHeight="1" x14ac:dyDescent="0.25">
      <c r="A72" s="549"/>
      <c r="B72" s="559"/>
      <c r="C72" s="52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1"/>
    </row>
    <row r="73" spans="1:16" x14ac:dyDescent="0.25">
      <c r="A73" s="550"/>
      <c r="B73" s="558"/>
      <c r="C73" s="50">
        <f>C71*1.2388</f>
        <v>0</v>
      </c>
      <c r="D73" s="144">
        <f>D71*$C$73</f>
        <v>0</v>
      </c>
      <c r="E73" s="144">
        <f t="shared" ref="E73:I73" si="37">E71*$C$73</f>
        <v>0</v>
      </c>
      <c r="F73" s="144">
        <f t="shared" si="37"/>
        <v>0</v>
      </c>
      <c r="G73" s="144">
        <f t="shared" si="37"/>
        <v>0</v>
      </c>
      <c r="H73" s="144">
        <f t="shared" si="37"/>
        <v>0</v>
      </c>
      <c r="I73" s="144">
        <f t="shared" si="37"/>
        <v>0</v>
      </c>
      <c r="J73" s="144">
        <f>J71*$C$73</f>
        <v>0</v>
      </c>
      <c r="K73" s="144">
        <f t="shared" ref="K73:O73" si="38">K71*$C$73</f>
        <v>0</v>
      </c>
      <c r="L73" s="144">
        <f t="shared" si="38"/>
        <v>0</v>
      </c>
      <c r="M73" s="144">
        <f t="shared" si="38"/>
        <v>0</v>
      </c>
      <c r="N73" s="144">
        <f t="shared" si="38"/>
        <v>0</v>
      </c>
      <c r="O73" s="144">
        <f t="shared" si="38"/>
        <v>0</v>
      </c>
      <c r="P73" s="141"/>
    </row>
    <row r="74" spans="1:16" x14ac:dyDescent="0.25">
      <c r="A74" s="548">
        <f t="shared" ref="A74" si="39">A71+1</f>
        <v>21</v>
      </c>
      <c r="B74" s="558" t="str">
        <f>ORÇAMENTO!D408</f>
        <v>MARCENARIA</v>
      </c>
      <c r="C74" s="139">
        <f>ORÇAMENTO!I410</f>
        <v>0</v>
      </c>
      <c r="D74" s="147"/>
      <c r="E74" s="147"/>
      <c r="F74" s="147"/>
      <c r="G74" s="147"/>
      <c r="H74" s="147"/>
      <c r="I74" s="147"/>
      <c r="J74" s="147"/>
      <c r="K74" s="147"/>
      <c r="L74" s="147">
        <v>1</v>
      </c>
      <c r="M74" s="147"/>
      <c r="N74" s="147"/>
      <c r="O74" s="147"/>
      <c r="P74" s="141">
        <f t="shared" si="1"/>
        <v>1</v>
      </c>
    </row>
    <row r="75" spans="1:16" ht="8.1" customHeight="1" x14ac:dyDescent="0.25">
      <c r="A75" s="549"/>
      <c r="B75" s="559"/>
      <c r="C75" s="52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1"/>
    </row>
    <row r="76" spans="1:16" x14ac:dyDescent="0.25">
      <c r="A76" s="550"/>
      <c r="B76" s="558"/>
      <c r="C76" s="50">
        <f>C74*1.2388</f>
        <v>0</v>
      </c>
      <c r="D76" s="144">
        <f>D74*$C$73</f>
        <v>0</v>
      </c>
      <c r="E76" s="144">
        <f t="shared" ref="E76:I76" si="40">E74*$C$73</f>
        <v>0</v>
      </c>
      <c r="F76" s="144">
        <f t="shared" si="40"/>
        <v>0</v>
      </c>
      <c r="G76" s="144">
        <f t="shared" si="40"/>
        <v>0</v>
      </c>
      <c r="H76" s="144">
        <f t="shared" si="40"/>
        <v>0</v>
      </c>
      <c r="I76" s="143">
        <f t="shared" si="40"/>
        <v>0</v>
      </c>
      <c r="J76" s="144">
        <f>J74*$C$73</f>
        <v>0</v>
      </c>
      <c r="K76" s="144">
        <f t="shared" ref="K76:O76" si="41">K74*$C$73</f>
        <v>0</v>
      </c>
      <c r="L76" s="144">
        <f>L74*$C$76</f>
        <v>0</v>
      </c>
      <c r="M76" s="144">
        <f t="shared" si="41"/>
        <v>0</v>
      </c>
      <c r="N76" s="144">
        <f t="shared" si="41"/>
        <v>0</v>
      </c>
      <c r="O76" s="143">
        <f t="shared" si="41"/>
        <v>0</v>
      </c>
      <c r="P76" s="141"/>
    </row>
    <row r="77" spans="1:16" x14ac:dyDescent="0.25">
      <c r="A77" s="548">
        <f t="shared" ref="A77" si="42">A74+1</f>
        <v>22</v>
      </c>
      <c r="B77" s="558" t="str">
        <f>ORÇAMENTO!D412</f>
        <v>ADMINISTRAÇÃO - MENSALISTAS</v>
      </c>
      <c r="C77" s="139">
        <f>ORÇAMENTO!I416</f>
        <v>0</v>
      </c>
      <c r="D77" s="145">
        <v>8.3299999999999999E-2</v>
      </c>
      <c r="E77" s="145">
        <v>8.3299999999999999E-2</v>
      </c>
      <c r="F77" s="145">
        <v>8.3299999999999999E-2</v>
      </c>
      <c r="G77" s="145">
        <v>8.3299999999999999E-2</v>
      </c>
      <c r="H77" s="145">
        <v>8.3299999999999999E-2</v>
      </c>
      <c r="I77" s="145">
        <v>8.3299999999999999E-2</v>
      </c>
      <c r="J77" s="145">
        <v>8.3299999999999999E-2</v>
      </c>
      <c r="K77" s="145">
        <v>8.3299999999999999E-2</v>
      </c>
      <c r="L77" s="145">
        <v>8.3299999999999999E-2</v>
      </c>
      <c r="M77" s="145">
        <v>8.3299999999999999E-2</v>
      </c>
      <c r="N77" s="145">
        <v>8.3299999999999999E-2</v>
      </c>
      <c r="O77" s="145">
        <v>8.3699999999999997E-2</v>
      </c>
      <c r="P77" s="141">
        <f t="shared" si="1"/>
        <v>1</v>
      </c>
    </row>
    <row r="78" spans="1:16" ht="8.1" customHeight="1" x14ac:dyDescent="0.25">
      <c r="A78" s="549"/>
      <c r="B78" s="559"/>
      <c r="C78" s="52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1"/>
    </row>
    <row r="79" spans="1:16" x14ac:dyDescent="0.25">
      <c r="A79" s="550"/>
      <c r="B79" s="558"/>
      <c r="C79" s="50">
        <f>C77*1.2388</f>
        <v>0</v>
      </c>
      <c r="D79" s="144">
        <f>D77*$C$79</f>
        <v>0</v>
      </c>
      <c r="E79" s="144">
        <f t="shared" ref="E79:I79" si="43">E77*$C$79</f>
        <v>0</v>
      </c>
      <c r="F79" s="144">
        <f t="shared" si="43"/>
        <v>0</v>
      </c>
      <c r="G79" s="144">
        <f t="shared" si="43"/>
        <v>0</v>
      </c>
      <c r="H79" s="144">
        <f t="shared" si="43"/>
        <v>0</v>
      </c>
      <c r="I79" s="144">
        <f t="shared" si="43"/>
        <v>0</v>
      </c>
      <c r="J79" s="144">
        <f>J77*$C$79</f>
        <v>0</v>
      </c>
      <c r="K79" s="144">
        <f t="shared" ref="K79:O79" si="44">K77*$C$79</f>
        <v>0</v>
      </c>
      <c r="L79" s="144">
        <f t="shared" si="44"/>
        <v>0</v>
      </c>
      <c r="M79" s="144">
        <f t="shared" si="44"/>
        <v>0</v>
      </c>
      <c r="N79" s="144">
        <f t="shared" si="44"/>
        <v>0</v>
      </c>
      <c r="O79" s="144">
        <f t="shared" si="44"/>
        <v>0</v>
      </c>
      <c r="P79" s="141"/>
    </row>
    <row r="80" spans="1:16" x14ac:dyDescent="0.25">
      <c r="A80" s="548">
        <f t="shared" ref="A80" si="45">A77+1</f>
        <v>23</v>
      </c>
      <c r="B80" s="558" t="str">
        <f>ORÇAMENTO!D418</f>
        <v>PINTURA</v>
      </c>
      <c r="C80" s="139">
        <f>ORÇAMENTO!I427</f>
        <v>0</v>
      </c>
      <c r="D80" s="147"/>
      <c r="E80" s="147"/>
      <c r="F80" s="147"/>
      <c r="G80" s="147"/>
      <c r="H80" s="147"/>
      <c r="I80" s="147"/>
      <c r="J80" s="147"/>
      <c r="K80" s="147">
        <v>0.2</v>
      </c>
      <c r="L80" s="147">
        <v>0.2</v>
      </c>
      <c r="M80" s="147">
        <v>0.2</v>
      </c>
      <c r="N80" s="147">
        <v>0.2</v>
      </c>
      <c r="O80" s="147">
        <v>0.2</v>
      </c>
      <c r="P80" s="141">
        <f t="shared" ref="P80:P86" si="46">SUM(D80:O80)</f>
        <v>1</v>
      </c>
    </row>
    <row r="81" spans="1:16" ht="8.1" customHeight="1" x14ac:dyDescent="0.25">
      <c r="A81" s="549"/>
      <c r="B81" s="559"/>
      <c r="C81" s="52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1"/>
    </row>
    <row r="82" spans="1:16" x14ac:dyDescent="0.25">
      <c r="A82" s="550"/>
      <c r="B82" s="558"/>
      <c r="C82" s="50">
        <f>C80*1.2388</f>
        <v>0</v>
      </c>
      <c r="D82" s="144">
        <f>D80*$C$82</f>
        <v>0</v>
      </c>
      <c r="E82" s="144">
        <f t="shared" ref="E82:I82" si="47">E80*$C$82</f>
        <v>0</v>
      </c>
      <c r="F82" s="144">
        <f t="shared" si="47"/>
        <v>0</v>
      </c>
      <c r="G82" s="144">
        <f t="shared" si="47"/>
        <v>0</v>
      </c>
      <c r="H82" s="144">
        <f t="shared" si="47"/>
        <v>0</v>
      </c>
      <c r="I82" s="144">
        <f t="shared" si="47"/>
        <v>0</v>
      </c>
      <c r="J82" s="144">
        <f>J80*$C$82</f>
        <v>0</v>
      </c>
      <c r="K82" s="144">
        <f t="shared" ref="K82:O82" si="48">K80*$C$82</f>
        <v>0</v>
      </c>
      <c r="L82" s="144">
        <f t="shared" si="48"/>
        <v>0</v>
      </c>
      <c r="M82" s="144">
        <f t="shared" si="48"/>
        <v>0</v>
      </c>
      <c r="N82" s="144">
        <f t="shared" si="48"/>
        <v>0</v>
      </c>
      <c r="O82" s="144">
        <f t="shared" si="48"/>
        <v>0</v>
      </c>
      <c r="P82" s="141"/>
    </row>
    <row r="83" spans="1:16" x14ac:dyDescent="0.25">
      <c r="A83" s="548">
        <f t="shared" ref="A83" si="49">A80+1</f>
        <v>24</v>
      </c>
      <c r="B83" s="558" t="str">
        <f>ORÇAMENTO!D429</f>
        <v>DIVERSOS</v>
      </c>
      <c r="C83" s="139">
        <f>ORÇAMENTO!I441</f>
        <v>0</v>
      </c>
      <c r="D83" s="147"/>
      <c r="E83" s="147"/>
      <c r="F83" s="147"/>
      <c r="G83" s="147"/>
      <c r="H83" s="147"/>
      <c r="I83" s="147">
        <v>0.2</v>
      </c>
      <c r="J83" s="147">
        <v>0.2</v>
      </c>
      <c r="K83" s="147">
        <v>0.2</v>
      </c>
      <c r="L83" s="147">
        <v>0.4</v>
      </c>
      <c r="M83" s="147"/>
      <c r="N83" s="147"/>
      <c r="O83" s="147"/>
      <c r="P83" s="141">
        <f t="shared" si="46"/>
        <v>1</v>
      </c>
    </row>
    <row r="84" spans="1:16" ht="8.1" customHeight="1" x14ac:dyDescent="0.25">
      <c r="A84" s="549"/>
      <c r="B84" s="559"/>
      <c r="C84" s="52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1"/>
    </row>
    <row r="85" spans="1:16" x14ac:dyDescent="0.25">
      <c r="A85" s="550"/>
      <c r="B85" s="558"/>
      <c r="C85" s="50">
        <f>C83*1.2388</f>
        <v>0</v>
      </c>
      <c r="D85" s="144">
        <f>D83*$C$85</f>
        <v>0</v>
      </c>
      <c r="E85" s="144">
        <f t="shared" ref="E85:I85" si="50">E83*$C$85</f>
        <v>0</v>
      </c>
      <c r="F85" s="144">
        <f t="shared" si="50"/>
        <v>0</v>
      </c>
      <c r="G85" s="144">
        <f t="shared" si="50"/>
        <v>0</v>
      </c>
      <c r="H85" s="144">
        <f t="shared" si="50"/>
        <v>0</v>
      </c>
      <c r="I85" s="144">
        <f t="shared" si="50"/>
        <v>0</v>
      </c>
      <c r="J85" s="144">
        <f>J83*$C$85</f>
        <v>0</v>
      </c>
      <c r="K85" s="144">
        <f t="shared" ref="K85:O85" si="51">K83*$C$85</f>
        <v>0</v>
      </c>
      <c r="L85" s="144">
        <f t="shared" si="51"/>
        <v>0</v>
      </c>
      <c r="M85" s="144">
        <f t="shared" si="51"/>
        <v>0</v>
      </c>
      <c r="N85" s="144">
        <f t="shared" si="51"/>
        <v>0</v>
      </c>
      <c r="O85" s="144">
        <f t="shared" si="51"/>
        <v>0</v>
      </c>
      <c r="P85" s="141"/>
    </row>
    <row r="86" spans="1:16" x14ac:dyDescent="0.25">
      <c r="A86" s="548">
        <f t="shared" ref="A86" si="52">A83+1</f>
        <v>25</v>
      </c>
      <c r="B86" s="558" t="str">
        <f>ORÇAMENTO!D443</f>
        <v>PAVIMENTAÇÃO URBANA*</v>
      </c>
      <c r="C86" s="139">
        <f>ORÇAMENTO!I456</f>
        <v>0</v>
      </c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>
        <v>1</v>
      </c>
      <c r="O86" s="147"/>
      <c r="P86" s="141">
        <f t="shared" si="46"/>
        <v>1</v>
      </c>
    </row>
    <row r="87" spans="1:16" ht="8.1" customHeight="1" x14ac:dyDescent="0.25">
      <c r="A87" s="549"/>
      <c r="B87" s="559"/>
      <c r="C87" s="52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1"/>
    </row>
    <row r="88" spans="1:16" x14ac:dyDescent="0.25">
      <c r="A88" s="550"/>
      <c r="B88" s="558"/>
      <c r="C88" s="50">
        <f>C86</f>
        <v>0</v>
      </c>
      <c r="D88" s="144">
        <f>D86*$C$85</f>
        <v>0</v>
      </c>
      <c r="E88" s="144">
        <f t="shared" ref="E88:I88" si="53">E86*$C$85</f>
        <v>0</v>
      </c>
      <c r="F88" s="144">
        <f t="shared" si="53"/>
        <v>0</v>
      </c>
      <c r="G88" s="144">
        <f t="shared" si="53"/>
        <v>0</v>
      </c>
      <c r="H88" s="144">
        <f t="shared" si="53"/>
        <v>0</v>
      </c>
      <c r="I88" s="144">
        <f t="shared" si="53"/>
        <v>0</v>
      </c>
      <c r="J88" s="144">
        <f>J86*$C$85</f>
        <v>0</v>
      </c>
      <c r="K88" s="144">
        <f t="shared" ref="K88:O88" si="54">K86*$C$85</f>
        <v>0</v>
      </c>
      <c r="L88" s="144">
        <f t="shared" si="54"/>
        <v>0</v>
      </c>
      <c r="M88" s="144">
        <f t="shared" si="54"/>
        <v>0</v>
      </c>
      <c r="N88" s="144">
        <f>N86*$C$88</f>
        <v>0</v>
      </c>
      <c r="O88" s="144">
        <f t="shared" si="54"/>
        <v>0</v>
      </c>
      <c r="P88" s="141"/>
    </row>
    <row r="89" spans="1:16" x14ac:dyDescent="0.25">
      <c r="A89" s="54"/>
      <c r="B89" s="563"/>
      <c r="C89" s="563"/>
      <c r="D89" s="563"/>
      <c r="E89" s="563"/>
      <c r="F89" s="563"/>
      <c r="G89" s="563"/>
      <c r="H89" s="563"/>
      <c r="I89" s="563"/>
      <c r="J89" s="84"/>
    </row>
    <row r="90" spans="1:16" ht="15" customHeight="1" x14ac:dyDescent="0.25">
      <c r="A90" s="560" t="s">
        <v>321</v>
      </c>
      <c r="B90" s="561"/>
      <c r="C90" s="562"/>
      <c r="D90" s="55" t="e">
        <f t="shared" ref="D90:H90" si="55">D92/VALOR_TOTAL</f>
        <v>#DIV/0!</v>
      </c>
      <c r="E90" s="55" t="e">
        <f t="shared" si="55"/>
        <v>#DIV/0!</v>
      </c>
      <c r="F90" s="55" t="e">
        <f t="shared" si="55"/>
        <v>#DIV/0!</v>
      </c>
      <c r="G90" s="55" t="e">
        <f t="shared" si="55"/>
        <v>#DIV/0!</v>
      </c>
      <c r="H90" s="55" t="e">
        <f t="shared" si="55"/>
        <v>#DIV/0!</v>
      </c>
      <c r="I90" s="55">
        <v>0.12</v>
      </c>
      <c r="J90" s="55" t="e">
        <f t="shared" ref="J90:N90" si="56">J92/VALOR_TOTAL</f>
        <v>#DIV/0!</v>
      </c>
      <c r="K90" s="55" t="e">
        <f t="shared" si="56"/>
        <v>#DIV/0!</v>
      </c>
      <c r="L90" s="55" t="e">
        <f t="shared" si="56"/>
        <v>#DIV/0!</v>
      </c>
      <c r="M90" s="55" t="e">
        <f t="shared" si="56"/>
        <v>#DIV/0!</v>
      </c>
      <c r="N90" s="55" t="e">
        <f t="shared" si="56"/>
        <v>#DIV/0!</v>
      </c>
      <c r="O90" s="55">
        <v>0.12</v>
      </c>
    </row>
    <row r="91" spans="1:16" x14ac:dyDescent="0.25">
      <c r="A91" s="560" t="s">
        <v>322</v>
      </c>
      <c r="B91" s="561"/>
      <c r="C91" s="562"/>
      <c r="D91" s="56" t="e">
        <f>D90</f>
        <v>#DIV/0!</v>
      </c>
      <c r="E91" s="56" t="e">
        <f>D91+E90</f>
        <v>#DIV/0!</v>
      </c>
      <c r="F91" s="56" t="e">
        <f t="shared" ref="F91:O91" si="57">E91+F90</f>
        <v>#DIV/0!</v>
      </c>
      <c r="G91" s="56" t="e">
        <f t="shared" si="57"/>
        <v>#DIV/0!</v>
      </c>
      <c r="H91" s="56" t="e">
        <f t="shared" si="57"/>
        <v>#DIV/0!</v>
      </c>
      <c r="I91" s="56" t="e">
        <f t="shared" si="57"/>
        <v>#DIV/0!</v>
      </c>
      <c r="J91" s="56" t="e">
        <f t="shared" si="57"/>
        <v>#DIV/0!</v>
      </c>
      <c r="K91" s="56" t="e">
        <f t="shared" si="57"/>
        <v>#DIV/0!</v>
      </c>
      <c r="L91" s="56" t="e">
        <f t="shared" si="57"/>
        <v>#DIV/0!</v>
      </c>
      <c r="M91" s="56" t="e">
        <f t="shared" si="57"/>
        <v>#DIV/0!</v>
      </c>
      <c r="N91" s="56" t="e">
        <f t="shared" si="57"/>
        <v>#DIV/0!</v>
      </c>
      <c r="O91" s="56" t="e">
        <f t="shared" si="57"/>
        <v>#DIV/0!</v>
      </c>
    </row>
    <row r="92" spans="1:16" x14ac:dyDescent="0.25">
      <c r="A92" s="560" t="s">
        <v>323</v>
      </c>
      <c r="B92" s="561"/>
      <c r="C92" s="562"/>
      <c r="D92" s="57">
        <f>D25+D16+D19+D22+D28+D31+D34+D37+D40+D43+D46+D49+D52+D55+D58+D61+D64+D67+D70+D73+D79+D82+D85+D76+D88</f>
        <v>0</v>
      </c>
      <c r="E92" s="57">
        <f t="shared" ref="E92:O92" si="58">E25+E16+E19+E22+E28+E31+E34+E37+E40+E43+E46+E49+E52+E55+E58+E61+E64+E67+E70+E73+E79+E82+E85+E76+E88</f>
        <v>0</v>
      </c>
      <c r="F92" s="57">
        <f t="shared" si="58"/>
        <v>0</v>
      </c>
      <c r="G92" s="57">
        <f t="shared" si="58"/>
        <v>0</v>
      </c>
      <c r="H92" s="57">
        <f t="shared" si="58"/>
        <v>0</v>
      </c>
      <c r="I92" s="57">
        <f t="shared" si="58"/>
        <v>0</v>
      </c>
      <c r="J92" s="57">
        <f t="shared" si="58"/>
        <v>0</v>
      </c>
      <c r="K92" s="57">
        <f t="shared" si="58"/>
        <v>0</v>
      </c>
      <c r="L92" s="57">
        <f t="shared" si="58"/>
        <v>0</v>
      </c>
      <c r="M92" s="57">
        <f t="shared" si="58"/>
        <v>0</v>
      </c>
      <c r="N92" s="57">
        <f t="shared" si="58"/>
        <v>0</v>
      </c>
      <c r="O92" s="57">
        <f t="shared" si="58"/>
        <v>0</v>
      </c>
    </row>
    <row r="93" spans="1:16" x14ac:dyDescent="0.25">
      <c r="A93" s="560" t="s">
        <v>324</v>
      </c>
      <c r="B93" s="561"/>
      <c r="C93" s="562"/>
      <c r="D93" s="57">
        <f>D92</f>
        <v>0</v>
      </c>
      <c r="E93" s="57">
        <f>D93+E92</f>
        <v>0</v>
      </c>
      <c r="F93" s="57">
        <f t="shared" ref="F93:O93" si="59">E93+F92</f>
        <v>0</v>
      </c>
      <c r="G93" s="57">
        <f t="shared" si="59"/>
        <v>0</v>
      </c>
      <c r="H93" s="57">
        <f t="shared" si="59"/>
        <v>0</v>
      </c>
      <c r="I93" s="57">
        <f t="shared" si="59"/>
        <v>0</v>
      </c>
      <c r="J93" s="57">
        <f t="shared" si="59"/>
        <v>0</v>
      </c>
      <c r="K93" s="57">
        <f t="shared" si="59"/>
        <v>0</v>
      </c>
      <c r="L93" s="57">
        <f t="shared" si="59"/>
        <v>0</v>
      </c>
      <c r="M93" s="57">
        <f t="shared" si="59"/>
        <v>0</v>
      </c>
      <c r="N93" s="57">
        <f t="shared" si="59"/>
        <v>0</v>
      </c>
      <c r="O93" s="57">
        <f t="shared" si="59"/>
        <v>0</v>
      </c>
    </row>
    <row r="95" spans="1:16" x14ac:dyDescent="0.25">
      <c r="A95" s="564" t="s">
        <v>315</v>
      </c>
      <c r="B95" s="564"/>
      <c r="C95" s="564"/>
      <c r="D95" s="2"/>
      <c r="E95" s="97"/>
      <c r="F95" s="31"/>
      <c r="G95" s="14"/>
    </row>
    <row r="96" spans="1:16" x14ac:dyDescent="0.25">
      <c r="A96" s="97"/>
      <c r="B96" s="97"/>
      <c r="C96" s="97"/>
      <c r="D96" s="2"/>
      <c r="E96" s="97"/>
      <c r="F96" s="31"/>
      <c r="G96" s="14"/>
    </row>
    <row r="97" spans="1:7" x14ac:dyDescent="0.25">
      <c r="A97" s="97"/>
      <c r="B97" s="97"/>
      <c r="C97" s="97"/>
      <c r="D97" s="2"/>
      <c r="E97" s="97"/>
      <c r="F97" s="31"/>
      <c r="G97" s="14"/>
    </row>
    <row r="98" spans="1:7" x14ac:dyDescent="0.25">
      <c r="A98" s="97"/>
      <c r="B98" s="97"/>
      <c r="C98" s="97"/>
      <c r="D98" s="2"/>
      <c r="E98" s="97"/>
      <c r="F98" s="31"/>
      <c r="G98" s="14"/>
    </row>
    <row r="99" spans="1:7" x14ac:dyDescent="0.25">
      <c r="A99" s="97"/>
      <c r="B99" s="97"/>
      <c r="C99" s="97" t="s">
        <v>272</v>
      </c>
      <c r="D99" s="2"/>
      <c r="E99" s="97"/>
      <c r="F99" s="31" t="s">
        <v>272</v>
      </c>
      <c r="G99" s="1"/>
    </row>
    <row r="100" spans="1:7" x14ac:dyDescent="0.25">
      <c r="A100" s="97"/>
      <c r="B100" s="97"/>
      <c r="C100" s="98" t="s">
        <v>273</v>
      </c>
      <c r="D100" s="2"/>
      <c r="E100" s="97"/>
      <c r="F100" s="32" t="s">
        <v>453</v>
      </c>
      <c r="G100" s="16"/>
    </row>
    <row r="101" spans="1:7" x14ac:dyDescent="0.25">
      <c r="A101" s="16"/>
      <c r="B101" s="98"/>
      <c r="C101" s="44" t="s">
        <v>274</v>
      </c>
      <c r="D101" s="45"/>
      <c r="E101" s="92"/>
      <c r="F101" s="46" t="s">
        <v>275</v>
      </c>
      <c r="G101" s="47"/>
    </row>
    <row r="102" spans="1:7" x14ac:dyDescent="0.25">
      <c r="A102" s="97"/>
      <c r="B102" s="98"/>
      <c r="C102" s="44" t="s">
        <v>276</v>
      </c>
      <c r="D102" s="45"/>
      <c r="E102" s="92"/>
      <c r="F102" s="46" t="s">
        <v>454</v>
      </c>
      <c r="G102" s="47"/>
    </row>
    <row r="103" spans="1:7" x14ac:dyDescent="0.25">
      <c r="A103" s="97"/>
      <c r="B103" s="98"/>
      <c r="C103" s="44"/>
      <c r="D103" s="45"/>
      <c r="E103" s="92"/>
      <c r="F103" s="46"/>
      <c r="G103" s="47"/>
    </row>
  </sheetData>
  <mergeCells count="65">
    <mergeCell ref="A95:C95"/>
    <mergeCell ref="D12:O12"/>
    <mergeCell ref="C1:O1"/>
    <mergeCell ref="C2:O2"/>
    <mergeCell ref="D10:I10"/>
    <mergeCell ref="A77:A79"/>
    <mergeCell ref="B77:B79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B23:B25"/>
    <mergeCell ref="A29:A31"/>
    <mergeCell ref="D8:I8"/>
    <mergeCell ref="A68:A70"/>
    <mergeCell ref="B68:B70"/>
    <mergeCell ref="A50:A52"/>
    <mergeCell ref="B50:B52"/>
    <mergeCell ref="A53:A55"/>
    <mergeCell ref="B53:B55"/>
    <mergeCell ref="A56:A58"/>
    <mergeCell ref="B56:B58"/>
    <mergeCell ref="A59:A61"/>
    <mergeCell ref="B59:B61"/>
    <mergeCell ref="A62:A64"/>
    <mergeCell ref="B62:B64"/>
    <mergeCell ref="A65:A67"/>
    <mergeCell ref="A71:A73"/>
    <mergeCell ref="B71:B73"/>
    <mergeCell ref="A80:A82"/>
    <mergeCell ref="B80:B82"/>
    <mergeCell ref="A93:C93"/>
    <mergeCell ref="B89:I89"/>
    <mergeCell ref="A90:C90"/>
    <mergeCell ref="A91:C91"/>
    <mergeCell ref="A92:C92"/>
    <mergeCell ref="A83:A85"/>
    <mergeCell ref="B83:B85"/>
    <mergeCell ref="A74:A76"/>
    <mergeCell ref="B74:B76"/>
    <mergeCell ref="A86:A88"/>
    <mergeCell ref="B86:B88"/>
    <mergeCell ref="D6:I6"/>
    <mergeCell ref="A47:A49"/>
    <mergeCell ref="B47:B49"/>
    <mergeCell ref="B65:B67"/>
    <mergeCell ref="A12:A13"/>
    <mergeCell ref="B12:C13"/>
    <mergeCell ref="A14:A16"/>
    <mergeCell ref="B14:B16"/>
    <mergeCell ref="A17:A19"/>
    <mergeCell ref="B17:B19"/>
    <mergeCell ref="A20:A22"/>
    <mergeCell ref="B20:B22"/>
    <mergeCell ref="A23:A25"/>
    <mergeCell ref="A26:A28"/>
    <mergeCell ref="B26:B28"/>
    <mergeCell ref="D9:J9"/>
  </mergeCells>
  <phoneticPr fontId="11" type="noConversion"/>
  <conditionalFormatting sqref="D27:I27 D30:I30 D33:I33 D36:I36 D39:I39 D42:I42 D45:I45 D48:I48 D51:I51 D15:I15 D18:I18 E24:I24 D21:K21">
    <cfRule type="expression" dxfId="51" priority="69">
      <formula>IF(D14="",0,1)</formula>
    </cfRule>
  </conditionalFormatting>
  <conditionalFormatting sqref="D54:G54 D57:G57 D60:H60 I54 I57">
    <cfRule type="expression" dxfId="50" priority="56">
      <formula>IF(D53="",0,1)</formula>
    </cfRule>
  </conditionalFormatting>
  <conditionalFormatting sqref="D63:F63 D66:H66 D69:F69 I69">
    <cfRule type="expression" dxfId="49" priority="55">
      <formula>IF(D62="",0,1)</formula>
    </cfRule>
  </conditionalFormatting>
  <conditionalFormatting sqref="D72:H72">
    <cfRule type="expression" dxfId="48" priority="54">
      <formula>IF(D71="",0,1)</formula>
    </cfRule>
  </conditionalFormatting>
  <conditionalFormatting sqref="D81:I81">
    <cfRule type="expression" dxfId="47" priority="52">
      <formula>IF(D80="",0,1)</formula>
    </cfRule>
  </conditionalFormatting>
  <conditionalFormatting sqref="D84:H84">
    <cfRule type="expression" dxfId="46" priority="51">
      <formula>IF(D83="",0,1)</formula>
    </cfRule>
  </conditionalFormatting>
  <conditionalFormatting sqref="D75:H75">
    <cfRule type="expression" dxfId="45" priority="50">
      <formula>IF(D74="",0,1)</formula>
    </cfRule>
  </conditionalFormatting>
  <conditionalFormatting sqref="D87:I87">
    <cfRule type="expression" dxfId="44" priority="49">
      <formula>IF(D86="",0,1)</formula>
    </cfRule>
  </conditionalFormatting>
  <conditionalFormatting sqref="H54">
    <cfRule type="expression" dxfId="43" priority="48">
      <formula>IF(H53="",0,1)</formula>
    </cfRule>
  </conditionalFormatting>
  <conditionalFormatting sqref="H57">
    <cfRule type="expression" dxfId="42" priority="46">
      <formula>IF(H56="",0,1)</formula>
    </cfRule>
  </conditionalFormatting>
  <conditionalFormatting sqref="I60">
    <cfRule type="expression" dxfId="41" priority="45">
      <formula>IF(I59="",0,1)</formula>
    </cfRule>
  </conditionalFormatting>
  <conditionalFormatting sqref="G63">
    <cfRule type="expression" dxfId="40" priority="44">
      <formula>IF(G62="",0,1)</formula>
    </cfRule>
  </conditionalFormatting>
  <conditionalFormatting sqref="H63">
    <cfRule type="expression" dxfId="39" priority="43">
      <formula>IF(H62="",0,1)</formula>
    </cfRule>
  </conditionalFormatting>
  <conditionalFormatting sqref="I66">
    <cfRule type="expression" dxfId="38" priority="42">
      <formula>IF(I65="",0,1)</formula>
    </cfRule>
  </conditionalFormatting>
  <conditionalFormatting sqref="G69">
    <cfRule type="expression" dxfId="37" priority="41">
      <formula>IF(G68="",0,1)</formula>
    </cfRule>
  </conditionalFormatting>
  <conditionalFormatting sqref="H69">
    <cfRule type="expression" dxfId="36" priority="40">
      <formula>IF(H68="",0,1)</formula>
    </cfRule>
  </conditionalFormatting>
  <conditionalFormatting sqref="I72">
    <cfRule type="expression" dxfId="35" priority="39">
      <formula>IF(I71="",0,1)</formula>
    </cfRule>
  </conditionalFormatting>
  <conditionalFormatting sqref="I76">
    <cfRule type="expression" dxfId="34" priority="38">
      <formula>IF(I75="",0,1)</formula>
    </cfRule>
  </conditionalFormatting>
  <conditionalFormatting sqref="I75">
    <cfRule type="expression" dxfId="33" priority="37">
      <formula>IF(I74="",0,1)</formula>
    </cfRule>
  </conditionalFormatting>
  <conditionalFormatting sqref="D78">
    <cfRule type="expression" dxfId="32" priority="36">
      <formula>IF(D77="",0,1)</formula>
    </cfRule>
  </conditionalFormatting>
  <conditionalFormatting sqref="L75">
    <cfRule type="expression" dxfId="31" priority="1">
      <formula>IF(L74="",0,1)</formula>
    </cfRule>
  </conditionalFormatting>
  <conditionalFormatting sqref="J27:O27 J30:O30 J33:O33 J36:O36 J39:O39 J42:O42 J45:O45 J48:O48 J51:O51 J15:O15 J18:O18 J24:O24 L21:O21">
    <cfRule type="expression" dxfId="30" priority="35">
      <formula>IF(J14="",0,1)</formula>
    </cfRule>
  </conditionalFormatting>
  <conditionalFormatting sqref="J54:K54 J57:K57 J60:L60 O54 O57 M54 M57 N60">
    <cfRule type="expression" dxfId="29" priority="34">
      <formula>IF(J53="",0,1)</formula>
    </cfRule>
  </conditionalFormatting>
  <conditionalFormatting sqref="K63:L63 K66:N66 J69 O63 O69">
    <cfRule type="expression" dxfId="28" priority="33">
      <formula>IF(J62="",0,1)</formula>
    </cfRule>
  </conditionalFormatting>
  <conditionalFormatting sqref="J72:N72">
    <cfRule type="expression" dxfId="27" priority="32">
      <formula>IF(J71="",0,1)</formula>
    </cfRule>
  </conditionalFormatting>
  <conditionalFormatting sqref="J81">
    <cfRule type="expression" dxfId="26" priority="30">
      <formula>IF(J80="",0,1)</formula>
    </cfRule>
  </conditionalFormatting>
  <conditionalFormatting sqref="M84:O84">
    <cfRule type="expression" dxfId="25" priority="29">
      <formula>IF(M83="",0,1)</formula>
    </cfRule>
  </conditionalFormatting>
  <conditionalFormatting sqref="J75:K75 M75:N75">
    <cfRule type="expression" dxfId="24" priority="28">
      <formula>IF(J74="",0,1)</formula>
    </cfRule>
  </conditionalFormatting>
  <conditionalFormatting sqref="J87:L87 O87">
    <cfRule type="expression" dxfId="23" priority="27">
      <formula>IF(J86="",0,1)</formula>
    </cfRule>
  </conditionalFormatting>
  <conditionalFormatting sqref="N54">
    <cfRule type="expression" dxfId="22" priority="26">
      <formula>IF(N53="",0,1)</formula>
    </cfRule>
  </conditionalFormatting>
  <conditionalFormatting sqref="N57">
    <cfRule type="expression" dxfId="21" priority="24">
      <formula>IF(N56="",0,1)</formula>
    </cfRule>
  </conditionalFormatting>
  <conditionalFormatting sqref="O60">
    <cfRule type="expression" dxfId="20" priority="23">
      <formula>IF(O59="",0,1)</formula>
    </cfRule>
  </conditionalFormatting>
  <conditionalFormatting sqref="M63">
    <cfRule type="expression" dxfId="19" priority="22">
      <formula>IF(M62="",0,1)</formula>
    </cfRule>
  </conditionalFormatting>
  <conditionalFormatting sqref="N63">
    <cfRule type="expression" dxfId="18" priority="21">
      <formula>IF(N62="",0,1)</formula>
    </cfRule>
  </conditionalFormatting>
  <conditionalFormatting sqref="O66">
    <cfRule type="expression" dxfId="17" priority="20">
      <formula>IF(O65="",0,1)</formula>
    </cfRule>
  </conditionalFormatting>
  <conditionalFormatting sqref="M69">
    <cfRule type="expression" dxfId="16" priority="19">
      <formula>IF(M68="",0,1)</formula>
    </cfRule>
  </conditionalFormatting>
  <conditionalFormatting sqref="N69">
    <cfRule type="expression" dxfId="15" priority="18">
      <formula>IF(N68="",0,1)</formula>
    </cfRule>
  </conditionalFormatting>
  <conditionalFormatting sqref="O72">
    <cfRule type="expression" dxfId="14" priority="17">
      <formula>IF(O71="",0,1)</formula>
    </cfRule>
  </conditionalFormatting>
  <conditionalFormatting sqref="O76">
    <cfRule type="expression" dxfId="13" priority="16">
      <formula>IF(O75="",0,1)</formula>
    </cfRule>
  </conditionalFormatting>
  <conditionalFormatting sqref="O75">
    <cfRule type="expression" dxfId="12" priority="15">
      <formula>IF(O74="",0,1)</formula>
    </cfRule>
  </conditionalFormatting>
  <conditionalFormatting sqref="I63">
    <cfRule type="expression" dxfId="11" priority="9">
      <formula>IF(I62="",0,1)</formula>
    </cfRule>
  </conditionalFormatting>
  <conditionalFormatting sqref="D24">
    <cfRule type="expression" dxfId="10" priority="13">
      <formula>IF(D23="",0,1)</formula>
    </cfRule>
  </conditionalFormatting>
  <conditionalFormatting sqref="L54">
    <cfRule type="expression" dxfId="9" priority="12">
      <formula>IF(L53="",0,1)</formula>
    </cfRule>
  </conditionalFormatting>
  <conditionalFormatting sqref="L57">
    <cfRule type="expression" dxfId="8" priority="11">
      <formula>IF(L56="",0,1)</formula>
    </cfRule>
  </conditionalFormatting>
  <conditionalFormatting sqref="M60">
    <cfRule type="expression" dxfId="7" priority="10">
      <formula>IF(M59="",0,1)</formula>
    </cfRule>
  </conditionalFormatting>
  <conditionalFormatting sqref="J63">
    <cfRule type="expression" dxfId="6" priority="8">
      <formula>IF(J62="",0,1)</formula>
    </cfRule>
  </conditionalFormatting>
  <conditionalFormatting sqref="J66">
    <cfRule type="expression" dxfId="5" priority="7">
      <formula>IF(J65="",0,1)</formula>
    </cfRule>
  </conditionalFormatting>
  <conditionalFormatting sqref="K69:L69">
    <cfRule type="expression" dxfId="4" priority="6">
      <formula>IF(K68="",0,1)</formula>
    </cfRule>
  </conditionalFormatting>
  <conditionalFormatting sqref="E78:O78">
    <cfRule type="expression" dxfId="3" priority="5">
      <formula>IF(E77="",0,1)</formula>
    </cfRule>
  </conditionalFormatting>
  <conditionalFormatting sqref="K81:O81">
    <cfRule type="expression" dxfId="2" priority="4">
      <formula>IF(K80="",0,1)</formula>
    </cfRule>
  </conditionalFormatting>
  <conditionalFormatting sqref="I84:L84">
    <cfRule type="expression" dxfId="1" priority="3">
      <formula>IF(I83="",0,1)</formula>
    </cfRule>
  </conditionalFormatting>
  <conditionalFormatting sqref="M87:N87">
    <cfRule type="expression" dxfId="0" priority="2">
      <formula>IF(M86="",0,1)</formula>
    </cfRule>
  </conditionalFormatting>
  <pageMargins left="0.511811024" right="0.511811024" top="0.78740157499999996" bottom="0.78740157499999996" header="0.31496062000000002" footer="0.31496062000000002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showGridLines="0" workbookViewId="0">
      <selection activeCell="N79" sqref="N79"/>
    </sheetView>
  </sheetViews>
  <sheetFormatPr defaultRowHeight="15" x14ac:dyDescent="0.25"/>
  <cols>
    <col min="2" max="2" width="12.28515625" customWidth="1"/>
    <col min="3" max="3" width="10.5703125" customWidth="1"/>
    <col min="4" max="4" width="43.85546875" style="100" customWidth="1"/>
    <col min="6" max="6" width="12.85546875" bestFit="1" customWidth="1"/>
    <col min="7" max="7" width="11.28515625" customWidth="1"/>
    <col min="8" max="8" width="12.5703125" customWidth="1"/>
    <col min="9" max="9" width="15" bestFit="1" customWidth="1"/>
    <col min="11" max="11" width="6.140625" customWidth="1"/>
    <col min="12" max="12" width="8.42578125" customWidth="1"/>
    <col min="13" max="13" width="28.7109375" customWidth="1"/>
    <col min="14" max="14" width="31.5703125" bestFit="1" customWidth="1"/>
    <col min="16" max="16" width="12.85546875" bestFit="1" customWidth="1"/>
    <col min="17" max="18" width="11.7109375" bestFit="1" customWidth="1"/>
    <col min="19" max="19" width="15" bestFit="1" customWidth="1"/>
    <col min="21" max="21" width="41" bestFit="1" customWidth="1"/>
    <col min="22" max="22" width="24.5703125" bestFit="1" customWidth="1"/>
  </cols>
  <sheetData>
    <row r="1" spans="1:9" x14ac:dyDescent="0.25">
      <c r="A1" s="571"/>
      <c r="B1" s="572"/>
      <c r="C1" s="473"/>
      <c r="D1" s="538" t="str">
        <f>ORÇAMENTO!C1</f>
        <v>PREFEITURA MUNICIPAL DE CATALÃO</v>
      </c>
      <c r="E1" s="538"/>
      <c r="F1" s="538"/>
      <c r="G1" s="538"/>
      <c r="H1" s="538"/>
      <c r="I1" s="539"/>
    </row>
    <row r="2" spans="1:9" x14ac:dyDescent="0.25">
      <c r="A2" s="573"/>
      <c r="B2" s="574"/>
      <c r="C2" s="474"/>
      <c r="D2" s="540" t="s">
        <v>747</v>
      </c>
      <c r="E2" s="540"/>
      <c r="F2" s="540"/>
      <c r="G2" s="540"/>
      <c r="H2" s="540"/>
      <c r="I2" s="541"/>
    </row>
    <row r="3" spans="1:9" x14ac:dyDescent="0.25">
      <c r="A3" s="573"/>
      <c r="B3" s="574"/>
      <c r="C3" s="475" t="str">
        <f>ORÇAMENTO!C3</f>
        <v>SETOR</v>
      </c>
      <c r="D3" s="583" t="str">
        <f>ORÇAMENTO!D3</f>
        <v>SECRETARIA MUNICIPAL DE OBRAS</v>
      </c>
      <c r="E3" s="583"/>
      <c r="F3" s="583"/>
      <c r="G3" s="583"/>
      <c r="H3" s="583"/>
      <c r="I3" s="584"/>
    </row>
    <row r="4" spans="1:9" x14ac:dyDescent="0.25">
      <c r="A4" s="573"/>
      <c r="B4" s="574"/>
      <c r="C4" s="475" t="str">
        <f>ORÇAMENTO!C4</f>
        <v>OBJETO</v>
      </c>
      <c r="D4" s="583" t="str">
        <f>ORÇAMENTO!D4</f>
        <v>CENTRO ATENDIMENTO MÉDICO</v>
      </c>
      <c r="E4" s="583"/>
      <c r="F4" s="583"/>
      <c r="G4" s="583"/>
      <c r="H4" s="583"/>
      <c r="I4" s="584"/>
    </row>
    <row r="5" spans="1:9" x14ac:dyDescent="0.25">
      <c r="A5" s="573"/>
      <c r="B5" s="574"/>
      <c r="C5" s="475" t="str">
        <f>ORÇAMENTO!C5</f>
        <v>PROCESSO</v>
      </c>
      <c r="D5" s="583">
        <f>ORÇAMENTO!D5</f>
        <v>2021003462</v>
      </c>
      <c r="E5" s="583"/>
      <c r="F5" s="583"/>
      <c r="G5" s="583"/>
      <c r="H5" s="583"/>
      <c r="I5" s="584"/>
    </row>
    <row r="6" spans="1:9" ht="28.9" customHeight="1" x14ac:dyDescent="0.25">
      <c r="A6" s="573"/>
      <c r="B6" s="574"/>
      <c r="C6" s="476" t="str">
        <f>ORÇAMENTO!C6</f>
        <v>ENDEREÇO</v>
      </c>
      <c r="D6" s="542" t="str">
        <f>ORÇAMENTO!D6</f>
        <v>ESQUINA DA RUA ALBINO FELIPE DO NASCIMENTO COM RUA MOZART SALVIANO, BAIRRO MARIA AMÉLIA II (ÁREA DE EQUIPAMENTO COMUNITÁRIO I)</v>
      </c>
      <c r="E6" s="542"/>
      <c r="F6" s="542"/>
      <c r="G6" s="542"/>
      <c r="H6" s="542"/>
      <c r="I6" s="543"/>
    </row>
    <row r="7" spans="1:9" x14ac:dyDescent="0.25">
      <c r="A7" s="573"/>
      <c r="B7" s="574"/>
      <c r="C7" s="475" t="str">
        <f>ORÇAMENTO!C7</f>
        <v>TABELAS</v>
      </c>
      <c r="D7" s="583" t="str">
        <f>ORÇAMENTO!D7</f>
        <v>TABELA GOINFRA 142 - CUSTOS DE OBRAS CIVIS - NOVEMBRO/2020 - DESONERADA - DATA BASE: 01/11/2020</v>
      </c>
      <c r="E7" s="583"/>
      <c r="F7" s="583"/>
      <c r="G7" s="583"/>
      <c r="H7" s="583"/>
      <c r="I7" s="584"/>
    </row>
    <row r="8" spans="1:9" ht="30.75" customHeight="1" x14ac:dyDescent="0.25">
      <c r="A8" s="573"/>
      <c r="B8" s="574"/>
      <c r="C8" s="475"/>
      <c r="D8" s="542" t="str">
        <f>ORÇAMENTO!D8</f>
        <v>TABELA SINAPI PCI.817.01 - CUSTO DE COMPOSIÇÕES - SINTÉTITICO - NOVEMBRO/2020 - COM DESONERAÇÃO - DATA BASE: 15/12/2020</v>
      </c>
      <c r="E8" s="542"/>
      <c r="F8" s="542"/>
      <c r="G8" s="542"/>
      <c r="H8" s="542"/>
      <c r="I8" s="543"/>
    </row>
    <row r="9" spans="1:9" ht="33.75" customHeight="1" x14ac:dyDescent="0.25">
      <c r="A9" s="573"/>
      <c r="B9" s="574"/>
      <c r="C9" s="475"/>
      <c r="D9" s="585" t="str">
        <f>ORÇAMENTO!D9</f>
        <v>TABELA DE TERRAPLENAGEM, PAVIMENTAÇÃO E OBRAS DE ARTE ESPECIAIS - MAR/18 - COM DESONERAÇÃO (T135) - DATA BASE: 01/03/2018</v>
      </c>
      <c r="E9" s="585"/>
      <c r="F9" s="585"/>
      <c r="G9" s="585"/>
      <c r="H9" s="585"/>
      <c r="I9" s="586"/>
    </row>
    <row r="10" spans="1:9" x14ac:dyDescent="0.25">
      <c r="A10" s="573"/>
      <c r="B10" s="574"/>
      <c r="C10" s="475" t="str">
        <f>ORÇAMENTO!C10</f>
        <v xml:space="preserve">DATA </v>
      </c>
      <c r="D10" s="583" t="str">
        <f>'MEMÓRIA DE CÁLCULO'!B10</f>
        <v>TERÇA FEIRA, 9 DE FEVEREIRO DE 2021</v>
      </c>
      <c r="E10" s="583"/>
      <c r="F10" s="583"/>
      <c r="G10" s="583"/>
      <c r="H10" s="583"/>
      <c r="I10" s="584"/>
    </row>
    <row r="11" spans="1:9" ht="15.75" thickBot="1" x14ac:dyDescent="0.3">
      <c r="A11" s="575"/>
      <c r="B11" s="576"/>
      <c r="C11" s="477" t="str">
        <f>ORÇAMENTO!C11</f>
        <v>BDI</v>
      </c>
      <c r="D11" s="595" t="str">
        <f>ORÇAMENTO!D11</f>
        <v>23,88% - 17,09% - 26,24%</v>
      </c>
      <c r="E11" s="595"/>
      <c r="F11" s="595"/>
      <c r="G11" s="595"/>
      <c r="H11" s="595"/>
      <c r="I11" s="596"/>
    </row>
    <row r="12" spans="1:9" x14ac:dyDescent="0.25">
      <c r="A12" s="472"/>
      <c r="B12" s="590"/>
      <c r="C12" s="590"/>
      <c r="D12" s="590"/>
      <c r="E12" s="590"/>
      <c r="F12" s="590"/>
      <c r="G12" s="590"/>
      <c r="H12" s="590"/>
      <c r="I12" s="591"/>
    </row>
    <row r="13" spans="1:9" x14ac:dyDescent="0.25">
      <c r="A13" s="577" t="s">
        <v>719</v>
      </c>
      <c r="B13" s="578"/>
      <c r="C13" s="579"/>
      <c r="D13" s="587" t="s">
        <v>748</v>
      </c>
      <c r="E13" s="588"/>
      <c r="F13" s="588"/>
      <c r="G13" s="588"/>
      <c r="H13" s="588"/>
      <c r="I13" s="589"/>
    </row>
    <row r="14" spans="1:9" x14ac:dyDescent="0.25">
      <c r="A14" s="455" t="s">
        <v>752</v>
      </c>
      <c r="B14" s="453" t="s">
        <v>708</v>
      </c>
      <c r="C14" s="453" t="s">
        <v>709</v>
      </c>
      <c r="D14" s="454" t="s">
        <v>710</v>
      </c>
      <c r="E14" s="453" t="s">
        <v>711</v>
      </c>
      <c r="F14" s="453" t="s">
        <v>712</v>
      </c>
      <c r="G14" s="453" t="s">
        <v>713</v>
      </c>
      <c r="H14" s="453" t="s">
        <v>714</v>
      </c>
      <c r="I14" s="456" t="s">
        <v>715</v>
      </c>
    </row>
    <row r="15" spans="1:9" ht="15.75" thickBot="1" x14ac:dyDescent="0.3">
      <c r="A15" s="568" t="s">
        <v>722</v>
      </c>
      <c r="B15" s="569"/>
      <c r="C15" s="569"/>
      <c r="D15" s="569"/>
      <c r="E15" s="569"/>
      <c r="F15" s="569"/>
      <c r="G15" s="569"/>
      <c r="H15" s="569"/>
      <c r="I15" s="570"/>
    </row>
    <row r="16" spans="1:9" x14ac:dyDescent="0.25">
      <c r="A16" s="457" t="s">
        <v>753</v>
      </c>
      <c r="B16" s="414" t="s">
        <v>9</v>
      </c>
      <c r="C16" s="415" t="s">
        <v>720</v>
      </c>
      <c r="D16" s="416" t="s">
        <v>721</v>
      </c>
      <c r="E16" s="417" t="s">
        <v>718</v>
      </c>
      <c r="F16" s="417">
        <v>1.3187</v>
      </c>
      <c r="G16" s="419">
        <v>0</v>
      </c>
      <c r="H16" s="419">
        <v>14.35</v>
      </c>
      <c r="I16" s="458">
        <f>F16*H16</f>
        <v>18.923344999999998</v>
      </c>
    </row>
    <row r="17" spans="1:9" ht="15.75" thickBot="1" x14ac:dyDescent="0.3">
      <c r="A17" s="459" t="s">
        <v>754</v>
      </c>
      <c r="B17" s="446" t="s">
        <v>9</v>
      </c>
      <c r="C17" s="447" t="s">
        <v>716</v>
      </c>
      <c r="D17" s="448" t="s">
        <v>717</v>
      </c>
      <c r="E17" s="449" t="s">
        <v>718</v>
      </c>
      <c r="F17" s="449">
        <v>1.2222999999999999</v>
      </c>
      <c r="G17" s="452">
        <v>0</v>
      </c>
      <c r="H17" s="452">
        <v>8.92</v>
      </c>
      <c r="I17" s="460">
        <f>F17*H17</f>
        <v>10.902915999999999</v>
      </c>
    </row>
    <row r="18" spans="1:9" ht="15.75" thickBot="1" x14ac:dyDescent="0.3">
      <c r="A18" s="580" t="s">
        <v>749</v>
      </c>
      <c r="B18" s="581"/>
      <c r="C18" s="581"/>
      <c r="D18" s="581"/>
      <c r="E18" s="581"/>
      <c r="F18" s="581"/>
      <c r="G18" s="581"/>
      <c r="H18" s="582"/>
      <c r="I18" s="461">
        <f>SUM(I16:I17)</f>
        <v>29.826260999999995</v>
      </c>
    </row>
    <row r="19" spans="1:9" ht="15.75" thickBot="1" x14ac:dyDescent="0.3">
      <c r="A19" s="597" t="s">
        <v>723</v>
      </c>
      <c r="B19" s="598"/>
      <c r="C19" s="598"/>
      <c r="D19" s="598"/>
      <c r="E19" s="598"/>
      <c r="F19" s="598"/>
      <c r="G19" s="598"/>
      <c r="H19" s="598"/>
      <c r="I19" s="599"/>
    </row>
    <row r="20" spans="1:9" ht="26.25" x14ac:dyDescent="0.25">
      <c r="A20" s="457" t="s">
        <v>755</v>
      </c>
      <c r="B20" s="414" t="s">
        <v>9</v>
      </c>
      <c r="C20" s="415" t="s">
        <v>724</v>
      </c>
      <c r="D20" s="416" t="s">
        <v>735</v>
      </c>
      <c r="E20" s="417" t="s">
        <v>718</v>
      </c>
      <c r="F20" s="417">
        <v>0.47620000000000001</v>
      </c>
      <c r="G20" s="419">
        <v>31.23</v>
      </c>
      <c r="H20" s="420">
        <v>0</v>
      </c>
      <c r="I20" s="458">
        <f>F20*G20</f>
        <v>14.871726000000001</v>
      </c>
    </row>
    <row r="21" spans="1:9" ht="26.25" x14ac:dyDescent="0.25">
      <c r="A21" s="462" t="s">
        <v>756</v>
      </c>
      <c r="B21" s="421" t="s">
        <v>9</v>
      </c>
      <c r="C21" s="422" t="s">
        <v>725</v>
      </c>
      <c r="D21" s="423" t="s">
        <v>736</v>
      </c>
      <c r="E21" s="424" t="s">
        <v>718</v>
      </c>
      <c r="F21" s="424">
        <v>5.9499999999999997E-2</v>
      </c>
      <c r="G21" s="426">
        <v>14.22</v>
      </c>
      <c r="H21" s="427">
        <v>0</v>
      </c>
      <c r="I21" s="463">
        <f t="shared" ref="I21:I31" si="0">F21*G21</f>
        <v>0.84609000000000001</v>
      </c>
    </row>
    <row r="22" spans="1:9" x14ac:dyDescent="0.25">
      <c r="A22" s="462" t="s">
        <v>757</v>
      </c>
      <c r="B22" s="421" t="s">
        <v>9</v>
      </c>
      <c r="C22" s="422" t="s">
        <v>726</v>
      </c>
      <c r="D22" s="423" t="s">
        <v>737</v>
      </c>
      <c r="E22" s="424" t="s">
        <v>718</v>
      </c>
      <c r="F22" s="424">
        <v>8.7800000000000003E-2</v>
      </c>
      <c r="G22" s="426">
        <v>17.190000000000001</v>
      </c>
      <c r="H22" s="427">
        <v>0</v>
      </c>
      <c r="I22" s="463">
        <f t="shared" si="0"/>
        <v>1.5092820000000002</v>
      </c>
    </row>
    <row r="23" spans="1:9" ht="26.25" x14ac:dyDescent="0.25">
      <c r="A23" s="462" t="s">
        <v>758</v>
      </c>
      <c r="B23" s="421" t="s">
        <v>9</v>
      </c>
      <c r="C23" s="422" t="s">
        <v>727</v>
      </c>
      <c r="D23" s="423" t="s">
        <v>738</v>
      </c>
      <c r="E23" s="424" t="s">
        <v>718</v>
      </c>
      <c r="F23" s="424">
        <v>0.23810000000000001</v>
      </c>
      <c r="G23" s="426">
        <v>104.74</v>
      </c>
      <c r="H23" s="427">
        <v>0</v>
      </c>
      <c r="I23" s="463">
        <f t="shared" si="0"/>
        <v>24.938593999999998</v>
      </c>
    </row>
    <row r="24" spans="1:9" x14ac:dyDescent="0.25">
      <c r="A24" s="462" t="s">
        <v>759</v>
      </c>
      <c r="B24" s="421" t="s">
        <v>9</v>
      </c>
      <c r="C24" s="422" t="s">
        <v>728</v>
      </c>
      <c r="D24" s="423" t="s">
        <v>739</v>
      </c>
      <c r="E24" s="424" t="s">
        <v>718</v>
      </c>
      <c r="F24" s="424">
        <v>0.29759999999999998</v>
      </c>
      <c r="G24" s="426">
        <v>2.29</v>
      </c>
      <c r="H24" s="427">
        <v>0</v>
      </c>
      <c r="I24" s="463">
        <f t="shared" si="0"/>
        <v>0.681504</v>
      </c>
    </row>
    <row r="25" spans="1:9" x14ac:dyDescent="0.25">
      <c r="A25" s="462" t="s">
        <v>760</v>
      </c>
      <c r="B25" s="421" t="s">
        <v>9</v>
      </c>
      <c r="C25" s="422" t="s">
        <v>729</v>
      </c>
      <c r="D25" s="423" t="s">
        <v>740</v>
      </c>
      <c r="E25" s="424" t="s">
        <v>718</v>
      </c>
      <c r="F25" s="424">
        <v>0.23810000000000001</v>
      </c>
      <c r="G25" s="426">
        <v>11.42</v>
      </c>
      <c r="H25" s="427">
        <v>0</v>
      </c>
      <c r="I25" s="463">
        <f t="shared" si="0"/>
        <v>2.7191019999999999</v>
      </c>
    </row>
    <row r="26" spans="1:9" x14ac:dyDescent="0.25">
      <c r="A26" s="462" t="s">
        <v>761</v>
      </c>
      <c r="B26" s="421" t="s">
        <v>9</v>
      </c>
      <c r="C26" s="422" t="s">
        <v>730</v>
      </c>
      <c r="D26" s="423" t="s">
        <v>741</v>
      </c>
      <c r="E26" s="424" t="s">
        <v>718</v>
      </c>
      <c r="F26" s="424">
        <v>1.43E-2</v>
      </c>
      <c r="G26" s="426">
        <v>100</v>
      </c>
      <c r="H26" s="427">
        <v>0</v>
      </c>
      <c r="I26" s="463">
        <f t="shared" si="0"/>
        <v>1.43</v>
      </c>
    </row>
    <row r="27" spans="1:9" x14ac:dyDescent="0.25">
      <c r="A27" s="462" t="s">
        <v>762</v>
      </c>
      <c r="B27" s="421" t="s">
        <v>9</v>
      </c>
      <c r="C27" s="422" t="s">
        <v>731</v>
      </c>
      <c r="D27" s="423" t="s">
        <v>742</v>
      </c>
      <c r="E27" s="424" t="s">
        <v>718</v>
      </c>
      <c r="F27" s="445">
        <v>5</v>
      </c>
      <c r="G27" s="426">
        <v>0.46</v>
      </c>
      <c r="H27" s="427">
        <v>0</v>
      </c>
      <c r="I27" s="463">
        <f t="shared" si="0"/>
        <v>2.3000000000000003</v>
      </c>
    </row>
    <row r="28" spans="1:9" x14ac:dyDescent="0.25">
      <c r="A28" s="462" t="s">
        <v>763</v>
      </c>
      <c r="B28" s="421" t="s">
        <v>9</v>
      </c>
      <c r="C28" s="422" t="s">
        <v>732</v>
      </c>
      <c r="D28" s="423" t="s">
        <v>743</v>
      </c>
      <c r="E28" s="424" t="s">
        <v>718</v>
      </c>
      <c r="F28" s="424">
        <v>0.18190000000000001</v>
      </c>
      <c r="G28" s="426">
        <v>5.94</v>
      </c>
      <c r="H28" s="427">
        <v>0</v>
      </c>
      <c r="I28" s="463">
        <f t="shared" si="0"/>
        <v>1.0804860000000001</v>
      </c>
    </row>
    <row r="29" spans="1:9" x14ac:dyDescent="0.25">
      <c r="A29" s="462" t="s">
        <v>764</v>
      </c>
      <c r="B29" s="421" t="s">
        <v>9</v>
      </c>
      <c r="C29" s="422" t="s">
        <v>733</v>
      </c>
      <c r="D29" s="423" t="s">
        <v>744</v>
      </c>
      <c r="E29" s="424" t="s">
        <v>718</v>
      </c>
      <c r="F29" s="424">
        <v>25.340499999999999</v>
      </c>
      <c r="G29" s="426">
        <v>5.85</v>
      </c>
      <c r="H29" s="427">
        <v>0</v>
      </c>
      <c r="I29" s="463">
        <f t="shared" si="0"/>
        <v>148.24192499999998</v>
      </c>
    </row>
    <row r="30" spans="1:9" x14ac:dyDescent="0.25">
      <c r="A30" s="462" t="s">
        <v>765</v>
      </c>
      <c r="B30" s="421" t="s">
        <v>9</v>
      </c>
      <c r="C30" s="422" t="s">
        <v>734</v>
      </c>
      <c r="D30" s="423" t="s">
        <v>745</v>
      </c>
      <c r="E30" s="424" t="s">
        <v>718</v>
      </c>
      <c r="F30" s="445">
        <v>1</v>
      </c>
      <c r="G30" s="426">
        <v>80.489999999999995</v>
      </c>
      <c r="H30" s="427">
        <v>0</v>
      </c>
      <c r="I30" s="463">
        <f t="shared" si="0"/>
        <v>80.489999999999995</v>
      </c>
    </row>
    <row r="31" spans="1:9" ht="27" thickBot="1" x14ac:dyDescent="0.3">
      <c r="A31" s="459" t="s">
        <v>766</v>
      </c>
      <c r="B31" s="446" t="s">
        <v>44</v>
      </c>
      <c r="C31" s="447" t="s">
        <v>746</v>
      </c>
      <c r="D31" s="448" t="s">
        <v>680</v>
      </c>
      <c r="E31" s="449" t="s">
        <v>718</v>
      </c>
      <c r="F31" s="450">
        <v>1</v>
      </c>
      <c r="G31" s="451">
        <v>81.83</v>
      </c>
      <c r="H31" s="451">
        <v>0</v>
      </c>
      <c r="I31" s="460">
        <f t="shared" si="0"/>
        <v>81.83</v>
      </c>
    </row>
    <row r="32" spans="1:9" ht="15.75" thickBot="1" x14ac:dyDescent="0.3">
      <c r="A32" s="580" t="s">
        <v>749</v>
      </c>
      <c r="B32" s="581"/>
      <c r="C32" s="581"/>
      <c r="D32" s="581"/>
      <c r="E32" s="581"/>
      <c r="F32" s="581"/>
      <c r="G32" s="581"/>
      <c r="H32" s="582"/>
      <c r="I32" s="461">
        <f>SUM(I20:I31)</f>
        <v>360.93870899999996</v>
      </c>
    </row>
    <row r="33" spans="1:9" x14ac:dyDescent="0.25">
      <c r="A33" s="592" t="s">
        <v>43</v>
      </c>
      <c r="B33" s="593"/>
      <c r="C33" s="593"/>
      <c r="D33" s="593"/>
      <c r="E33" s="593"/>
      <c r="F33" s="593"/>
      <c r="G33" s="593"/>
      <c r="H33" s="594"/>
      <c r="I33" s="464">
        <f>SUM(I18+I32)</f>
        <v>390.76496999999995</v>
      </c>
    </row>
    <row r="34" spans="1:9" x14ac:dyDescent="0.25">
      <c r="A34" s="577" t="s">
        <v>767</v>
      </c>
      <c r="B34" s="578"/>
      <c r="C34" s="579"/>
      <c r="D34" s="587" t="s">
        <v>780</v>
      </c>
      <c r="E34" s="588"/>
      <c r="F34" s="588"/>
      <c r="G34" s="588"/>
      <c r="H34" s="588"/>
      <c r="I34" s="589"/>
    </row>
    <row r="35" spans="1:9" x14ac:dyDescent="0.25">
      <c r="A35" s="465" t="s">
        <v>752</v>
      </c>
      <c r="B35" s="86" t="s">
        <v>708</v>
      </c>
      <c r="C35" s="86" t="s">
        <v>709</v>
      </c>
      <c r="D35" s="153" t="s">
        <v>710</v>
      </c>
      <c r="E35" s="86" t="s">
        <v>711</v>
      </c>
      <c r="F35" s="86" t="s">
        <v>712</v>
      </c>
      <c r="G35" s="86" t="s">
        <v>713</v>
      </c>
      <c r="H35" s="86" t="s">
        <v>714</v>
      </c>
      <c r="I35" s="466" t="s">
        <v>715</v>
      </c>
    </row>
    <row r="36" spans="1:9" ht="15.75" thickBot="1" x14ac:dyDescent="0.3">
      <c r="A36" s="568" t="s">
        <v>722</v>
      </c>
      <c r="B36" s="569"/>
      <c r="C36" s="569"/>
      <c r="D36" s="569"/>
      <c r="E36" s="569"/>
      <c r="F36" s="569"/>
      <c r="G36" s="569"/>
      <c r="H36" s="569"/>
      <c r="I36" s="570"/>
    </row>
    <row r="37" spans="1:9" ht="27" thickBot="1" x14ac:dyDescent="0.3">
      <c r="A37" s="467" t="s">
        <v>753</v>
      </c>
      <c r="B37" s="439" t="s">
        <v>9</v>
      </c>
      <c r="C37" s="440" t="s">
        <v>778</v>
      </c>
      <c r="D37" s="441" t="s">
        <v>779</v>
      </c>
      <c r="E37" s="442" t="s">
        <v>718</v>
      </c>
      <c r="F37" s="443">
        <v>2</v>
      </c>
      <c r="G37" s="444">
        <v>0</v>
      </c>
      <c r="H37" s="444">
        <v>18.079999999999998</v>
      </c>
      <c r="I37" s="468">
        <f>F37*H37</f>
        <v>36.159999999999997</v>
      </c>
    </row>
    <row r="38" spans="1:9" ht="15.75" thickBot="1" x14ac:dyDescent="0.3">
      <c r="A38" s="580" t="s">
        <v>749</v>
      </c>
      <c r="B38" s="581"/>
      <c r="C38" s="581"/>
      <c r="D38" s="581"/>
      <c r="E38" s="581"/>
      <c r="F38" s="581"/>
      <c r="G38" s="581"/>
      <c r="H38" s="582"/>
      <c r="I38" s="461">
        <f>SUM(I37:I37)</f>
        <v>36.159999999999997</v>
      </c>
    </row>
    <row r="39" spans="1:9" ht="15.75" thickBot="1" x14ac:dyDescent="0.3">
      <c r="A39" s="568" t="s">
        <v>723</v>
      </c>
      <c r="B39" s="569"/>
      <c r="C39" s="569"/>
      <c r="D39" s="569"/>
      <c r="E39" s="569"/>
      <c r="F39" s="569"/>
      <c r="G39" s="569"/>
      <c r="H39" s="569"/>
      <c r="I39" s="570"/>
    </row>
    <row r="40" spans="1:9" ht="39" x14ac:dyDescent="0.25">
      <c r="A40" s="457" t="s">
        <v>753</v>
      </c>
      <c r="B40" s="414" t="s">
        <v>777</v>
      </c>
      <c r="C40" s="415" t="s">
        <v>775</v>
      </c>
      <c r="D40" s="416" t="s">
        <v>776</v>
      </c>
      <c r="E40" s="417" t="s">
        <v>431</v>
      </c>
      <c r="F40" s="418">
        <f>3.65+3.65+2.1+2.1</f>
        <v>11.5</v>
      </c>
      <c r="G40" s="419">
        <v>5.23</v>
      </c>
      <c r="H40" s="420">
        <v>0</v>
      </c>
      <c r="I40" s="458">
        <f t="shared" ref="I40:I42" si="1">F40*G40</f>
        <v>60.145000000000003</v>
      </c>
    </row>
    <row r="41" spans="1:9" ht="26.25" x14ac:dyDescent="0.25">
      <c r="A41" s="462" t="s">
        <v>754</v>
      </c>
      <c r="B41" s="421" t="s">
        <v>9</v>
      </c>
      <c r="C41" s="422" t="s">
        <v>772</v>
      </c>
      <c r="D41" s="423" t="s">
        <v>774</v>
      </c>
      <c r="E41" s="424" t="s">
        <v>773</v>
      </c>
      <c r="F41" s="425">
        <f>3.65*2.1</f>
        <v>7.665</v>
      </c>
      <c r="G41" s="426">
        <v>251.74</v>
      </c>
      <c r="H41" s="427">
        <v>0</v>
      </c>
      <c r="I41" s="463">
        <f t="shared" si="1"/>
        <v>1929.5871000000002</v>
      </c>
    </row>
    <row r="42" spans="1:9" s="87" customFormat="1" ht="25.5" x14ac:dyDescent="0.25">
      <c r="A42" s="462" t="s">
        <v>755</v>
      </c>
      <c r="B42" s="421" t="s">
        <v>9</v>
      </c>
      <c r="C42" s="428" t="s">
        <v>770</v>
      </c>
      <c r="D42" s="429" t="s">
        <v>771</v>
      </c>
      <c r="E42" s="421" t="s">
        <v>718</v>
      </c>
      <c r="F42" s="430">
        <v>4</v>
      </c>
      <c r="G42" s="431">
        <v>16.510000000000002</v>
      </c>
      <c r="H42" s="432">
        <v>0</v>
      </c>
      <c r="I42" s="469">
        <f t="shared" si="1"/>
        <v>66.040000000000006</v>
      </c>
    </row>
    <row r="43" spans="1:9" s="88" customFormat="1" ht="26.25" thickBot="1" x14ac:dyDescent="0.3">
      <c r="A43" s="459" t="s">
        <v>756</v>
      </c>
      <c r="B43" s="433" t="s">
        <v>9</v>
      </c>
      <c r="C43" s="434" t="s">
        <v>768</v>
      </c>
      <c r="D43" s="435" t="s">
        <v>769</v>
      </c>
      <c r="E43" s="433" t="s">
        <v>718</v>
      </c>
      <c r="F43" s="436">
        <v>1</v>
      </c>
      <c r="G43" s="437">
        <v>77.239999999999995</v>
      </c>
      <c r="H43" s="438">
        <v>0</v>
      </c>
      <c r="I43" s="470">
        <f t="shared" ref="I43" si="2">F43*G43</f>
        <v>77.239999999999995</v>
      </c>
    </row>
    <row r="44" spans="1:9" ht="15.75" thickBot="1" x14ac:dyDescent="0.3">
      <c r="A44" s="580" t="s">
        <v>749</v>
      </c>
      <c r="B44" s="581"/>
      <c r="C44" s="581"/>
      <c r="D44" s="581"/>
      <c r="E44" s="581"/>
      <c r="F44" s="581"/>
      <c r="G44" s="581"/>
      <c r="H44" s="582"/>
      <c r="I44" s="461">
        <f>SUM(I40:I43)</f>
        <v>2133.0120999999999</v>
      </c>
    </row>
    <row r="45" spans="1:9" x14ac:dyDescent="0.25">
      <c r="A45" s="592" t="s">
        <v>43</v>
      </c>
      <c r="B45" s="593"/>
      <c r="C45" s="593"/>
      <c r="D45" s="593"/>
      <c r="E45" s="593"/>
      <c r="F45" s="593"/>
      <c r="G45" s="593"/>
      <c r="H45" s="594"/>
      <c r="I45" s="464">
        <f>SUM(I38+I44)</f>
        <v>2169.1720999999998</v>
      </c>
    </row>
    <row r="46" spans="1:9" x14ac:dyDescent="0.25">
      <c r="A46" s="577" t="s">
        <v>781</v>
      </c>
      <c r="B46" s="578"/>
      <c r="C46" s="579"/>
      <c r="D46" s="587" t="s">
        <v>782</v>
      </c>
      <c r="E46" s="588"/>
      <c r="F46" s="588"/>
      <c r="G46" s="588"/>
      <c r="H46" s="588"/>
      <c r="I46" s="589"/>
    </row>
    <row r="47" spans="1:9" x14ac:dyDescent="0.25">
      <c r="A47" s="465" t="s">
        <v>752</v>
      </c>
      <c r="B47" s="86" t="s">
        <v>708</v>
      </c>
      <c r="C47" s="86" t="s">
        <v>709</v>
      </c>
      <c r="D47" s="153" t="s">
        <v>710</v>
      </c>
      <c r="E47" s="86" t="s">
        <v>711</v>
      </c>
      <c r="F47" s="86" t="s">
        <v>712</v>
      </c>
      <c r="G47" s="86" t="s">
        <v>713</v>
      </c>
      <c r="H47" s="86" t="s">
        <v>714</v>
      </c>
      <c r="I47" s="466" t="s">
        <v>715</v>
      </c>
    </row>
    <row r="48" spans="1:9" ht="15.75" thickBot="1" x14ac:dyDescent="0.3">
      <c r="A48" s="568" t="s">
        <v>722</v>
      </c>
      <c r="B48" s="569"/>
      <c r="C48" s="569"/>
      <c r="D48" s="569"/>
      <c r="E48" s="569"/>
      <c r="F48" s="569"/>
      <c r="G48" s="569"/>
      <c r="H48" s="569"/>
      <c r="I48" s="570"/>
    </row>
    <row r="49" spans="1:9" ht="27" thickBot="1" x14ac:dyDescent="0.3">
      <c r="A49" s="467" t="s">
        <v>753</v>
      </c>
      <c r="B49" s="439" t="s">
        <v>9</v>
      </c>
      <c r="C49" s="440" t="s">
        <v>778</v>
      </c>
      <c r="D49" s="441" t="s">
        <v>779</v>
      </c>
      <c r="E49" s="442" t="s">
        <v>718</v>
      </c>
      <c r="F49" s="443">
        <v>2</v>
      </c>
      <c r="G49" s="444">
        <v>0</v>
      </c>
      <c r="H49" s="444">
        <v>18.079999999999998</v>
      </c>
      <c r="I49" s="468">
        <f>F49*H49</f>
        <v>36.159999999999997</v>
      </c>
    </row>
    <row r="50" spans="1:9" ht="15.75" thickBot="1" x14ac:dyDescent="0.3">
      <c r="A50" s="580" t="s">
        <v>749</v>
      </c>
      <c r="B50" s="581"/>
      <c r="C50" s="581"/>
      <c r="D50" s="581"/>
      <c r="E50" s="581"/>
      <c r="F50" s="581"/>
      <c r="G50" s="581"/>
      <c r="H50" s="582"/>
      <c r="I50" s="461">
        <f>SUM(I49:I49)</f>
        <v>36.159999999999997</v>
      </c>
    </row>
    <row r="51" spans="1:9" ht="15.75" thickBot="1" x14ac:dyDescent="0.3">
      <c r="A51" s="568" t="s">
        <v>723</v>
      </c>
      <c r="B51" s="569"/>
      <c r="C51" s="569"/>
      <c r="D51" s="569"/>
      <c r="E51" s="569"/>
      <c r="F51" s="569"/>
      <c r="G51" s="569"/>
      <c r="H51" s="569"/>
      <c r="I51" s="570"/>
    </row>
    <row r="52" spans="1:9" ht="39" x14ac:dyDescent="0.25">
      <c r="A52" s="457" t="s">
        <v>753</v>
      </c>
      <c r="B52" s="414" t="s">
        <v>777</v>
      </c>
      <c r="C52" s="415" t="s">
        <v>775</v>
      </c>
      <c r="D52" s="416" t="s">
        <v>776</v>
      </c>
      <c r="E52" s="417" t="s">
        <v>431</v>
      </c>
      <c r="F52" s="418">
        <f>1.7+1.7+2.1+2.1</f>
        <v>7.6</v>
      </c>
      <c r="G52" s="419">
        <v>5.23</v>
      </c>
      <c r="H52" s="420">
        <v>0</v>
      </c>
      <c r="I52" s="458">
        <f t="shared" ref="I52:I55" si="3">F52*G52</f>
        <v>39.748000000000005</v>
      </c>
    </row>
    <row r="53" spans="1:9" ht="26.25" x14ac:dyDescent="0.25">
      <c r="A53" s="462" t="s">
        <v>754</v>
      </c>
      <c r="B53" s="421" t="s">
        <v>9</v>
      </c>
      <c r="C53" s="422" t="s">
        <v>772</v>
      </c>
      <c r="D53" s="423" t="s">
        <v>774</v>
      </c>
      <c r="E53" s="424" t="s">
        <v>773</v>
      </c>
      <c r="F53" s="425">
        <f>1.7*2.1</f>
        <v>3.57</v>
      </c>
      <c r="G53" s="426">
        <v>251.74</v>
      </c>
      <c r="H53" s="427">
        <v>0</v>
      </c>
      <c r="I53" s="463">
        <f t="shared" si="3"/>
        <v>898.71180000000004</v>
      </c>
    </row>
    <row r="54" spans="1:9" ht="25.5" x14ac:dyDescent="0.25">
      <c r="A54" s="462" t="s">
        <v>755</v>
      </c>
      <c r="B54" s="421" t="s">
        <v>9</v>
      </c>
      <c r="C54" s="428" t="s">
        <v>770</v>
      </c>
      <c r="D54" s="429" t="s">
        <v>771</v>
      </c>
      <c r="E54" s="421" t="s">
        <v>718</v>
      </c>
      <c r="F54" s="430">
        <v>2</v>
      </c>
      <c r="G54" s="431">
        <v>16.510000000000002</v>
      </c>
      <c r="H54" s="432">
        <v>0</v>
      </c>
      <c r="I54" s="469">
        <f t="shared" si="3"/>
        <v>33.020000000000003</v>
      </c>
    </row>
    <row r="55" spans="1:9" ht="26.25" thickBot="1" x14ac:dyDescent="0.3">
      <c r="A55" s="459" t="s">
        <v>756</v>
      </c>
      <c r="B55" s="433" t="s">
        <v>9</v>
      </c>
      <c r="C55" s="434" t="s">
        <v>768</v>
      </c>
      <c r="D55" s="435" t="s">
        <v>769</v>
      </c>
      <c r="E55" s="433" t="s">
        <v>718</v>
      </c>
      <c r="F55" s="436">
        <v>1</v>
      </c>
      <c r="G55" s="437">
        <v>77.239999999999995</v>
      </c>
      <c r="H55" s="438">
        <v>0</v>
      </c>
      <c r="I55" s="470">
        <f t="shared" si="3"/>
        <v>77.239999999999995</v>
      </c>
    </row>
    <row r="56" spans="1:9" ht="15.75" thickBot="1" x14ac:dyDescent="0.3">
      <c r="A56" s="580" t="s">
        <v>749</v>
      </c>
      <c r="B56" s="581"/>
      <c r="C56" s="581"/>
      <c r="D56" s="581"/>
      <c r="E56" s="581"/>
      <c r="F56" s="581"/>
      <c r="G56" s="581"/>
      <c r="H56" s="582"/>
      <c r="I56" s="461">
        <f>SUM(I52:I55)</f>
        <v>1048.7198000000001</v>
      </c>
    </row>
    <row r="57" spans="1:9" x14ac:dyDescent="0.25">
      <c r="A57" s="606" t="s">
        <v>43</v>
      </c>
      <c r="B57" s="607"/>
      <c r="C57" s="607"/>
      <c r="D57" s="607"/>
      <c r="E57" s="607"/>
      <c r="F57" s="607"/>
      <c r="G57" s="607"/>
      <c r="H57" s="608"/>
      <c r="I57" s="471">
        <f>SUM(I50+I56)</f>
        <v>1084.8798000000002</v>
      </c>
    </row>
    <row r="59" spans="1:9" x14ac:dyDescent="0.25">
      <c r="A59" s="564" t="s">
        <v>315</v>
      </c>
      <c r="B59" s="564"/>
      <c r="C59" s="564"/>
      <c r="D59" s="2"/>
      <c r="E59" s="97"/>
      <c r="F59" s="31"/>
      <c r="G59" s="14"/>
    </row>
    <row r="60" spans="1:9" x14ac:dyDescent="0.25">
      <c r="A60" s="97"/>
      <c r="B60" s="97"/>
      <c r="C60" s="97"/>
      <c r="D60" s="2"/>
      <c r="E60" s="97"/>
      <c r="F60" s="31"/>
      <c r="G60" s="14"/>
    </row>
    <row r="61" spans="1:9" x14ac:dyDescent="0.25">
      <c r="A61" s="97"/>
      <c r="B61" s="97"/>
      <c r="C61" s="97"/>
      <c r="D61" s="2"/>
      <c r="E61" s="97"/>
      <c r="F61" s="31"/>
      <c r="G61" s="14"/>
    </row>
    <row r="62" spans="1:9" x14ac:dyDescent="0.25">
      <c r="A62" s="97"/>
      <c r="B62" s="97"/>
      <c r="C62" s="97"/>
      <c r="D62" s="2"/>
      <c r="E62" s="97"/>
      <c r="F62" s="31"/>
      <c r="G62" s="14"/>
    </row>
    <row r="63" spans="1:9" x14ac:dyDescent="0.25">
      <c r="A63" s="97"/>
      <c r="B63" s="97"/>
      <c r="C63" s="97" t="s">
        <v>272</v>
      </c>
      <c r="D63" s="2"/>
      <c r="E63" s="97"/>
      <c r="F63" s="31" t="s">
        <v>272</v>
      </c>
      <c r="G63" s="1"/>
    </row>
    <row r="64" spans="1:9" x14ac:dyDescent="0.25">
      <c r="A64" s="97"/>
      <c r="B64" s="97"/>
      <c r="C64" s="98" t="s">
        <v>273</v>
      </c>
      <c r="D64" s="2"/>
      <c r="E64" s="97"/>
      <c r="F64" s="32" t="s">
        <v>453</v>
      </c>
      <c r="G64" s="16"/>
    </row>
    <row r="65" spans="1:22" x14ac:dyDescent="0.25">
      <c r="A65" s="16"/>
      <c r="B65" s="98"/>
      <c r="C65" s="44" t="s">
        <v>274</v>
      </c>
      <c r="D65" s="45"/>
      <c r="E65" s="92"/>
      <c r="F65" s="46" t="s">
        <v>275</v>
      </c>
      <c r="G65" s="47"/>
    </row>
    <row r="66" spans="1:22" x14ac:dyDescent="0.25">
      <c r="A66" s="97"/>
      <c r="B66" s="98"/>
      <c r="C66" s="44" t="s">
        <v>276</v>
      </c>
      <c r="D66" s="45"/>
      <c r="E66" s="92"/>
      <c r="F66" s="46" t="s">
        <v>454</v>
      </c>
      <c r="G66" s="47"/>
    </row>
    <row r="67" spans="1:22" ht="15.75" thickBot="1" x14ac:dyDescent="0.3">
      <c r="A67" s="97"/>
      <c r="B67" s="98"/>
      <c r="C67" s="44"/>
      <c r="D67" s="45"/>
      <c r="E67" s="92"/>
      <c r="F67" s="46"/>
      <c r="G67" s="47"/>
    </row>
    <row r="68" spans="1:22" x14ac:dyDescent="0.25">
      <c r="K68" s="3"/>
      <c r="L68" s="154"/>
      <c r="M68" s="154"/>
      <c r="N68" s="154" t="s">
        <v>0</v>
      </c>
      <c r="O68" s="154"/>
      <c r="P68" s="154"/>
      <c r="Q68" s="154"/>
      <c r="R68" s="154"/>
      <c r="S68" s="154"/>
      <c r="T68" s="154"/>
      <c r="U68" s="154"/>
      <c r="V68" s="25"/>
    </row>
    <row r="69" spans="1:22" x14ac:dyDescent="0.25">
      <c r="K69" s="4"/>
      <c r="L69" s="13"/>
      <c r="M69" s="13"/>
      <c r="N69" s="13" t="s">
        <v>747</v>
      </c>
      <c r="O69" s="13"/>
      <c r="P69" s="13"/>
      <c r="Q69" s="13"/>
      <c r="R69" s="13"/>
      <c r="S69" s="13"/>
      <c r="T69" s="13"/>
      <c r="U69" s="13"/>
      <c r="V69" s="26"/>
    </row>
    <row r="70" spans="1:22" x14ac:dyDescent="0.25">
      <c r="K70" s="4"/>
      <c r="L70" s="13"/>
      <c r="M70" s="155" t="s">
        <v>1485</v>
      </c>
      <c r="N70" s="13" t="s">
        <v>1</v>
      </c>
      <c r="O70" s="13"/>
      <c r="P70" s="13"/>
      <c r="Q70" s="13"/>
      <c r="R70" s="13"/>
      <c r="S70" s="13"/>
      <c r="T70" s="13"/>
      <c r="U70" s="13"/>
      <c r="V70" s="26"/>
    </row>
    <row r="71" spans="1:22" x14ac:dyDescent="0.25">
      <c r="K71" s="4"/>
      <c r="L71" s="13"/>
      <c r="M71" s="155" t="s">
        <v>1486</v>
      </c>
      <c r="N71" s="13" t="str">
        <f>D4</f>
        <v>CENTRO ATENDIMENTO MÉDICO</v>
      </c>
      <c r="O71" s="13"/>
      <c r="P71" s="13"/>
      <c r="Q71" s="13"/>
      <c r="R71" s="13"/>
      <c r="S71" s="13"/>
      <c r="T71" s="13"/>
      <c r="U71" s="13"/>
      <c r="V71" s="26"/>
    </row>
    <row r="72" spans="1:22" x14ac:dyDescent="0.25">
      <c r="K72" s="4"/>
      <c r="L72" s="13"/>
      <c r="M72" s="155" t="s">
        <v>304</v>
      </c>
      <c r="N72" s="13">
        <v>2021003462</v>
      </c>
      <c r="O72" s="13"/>
      <c r="P72" s="13"/>
      <c r="Q72" s="13"/>
      <c r="R72" s="13"/>
      <c r="S72" s="13"/>
      <c r="T72" s="13"/>
      <c r="U72" s="13"/>
      <c r="V72" s="26"/>
    </row>
    <row r="73" spans="1:22" x14ac:dyDescent="0.25">
      <c r="K73" s="4"/>
      <c r="L73" s="13"/>
      <c r="M73" s="155" t="s">
        <v>306</v>
      </c>
      <c r="N73" s="13" t="s">
        <v>457</v>
      </c>
      <c r="O73" s="13"/>
      <c r="P73" s="13"/>
      <c r="Q73" s="13"/>
      <c r="R73" s="13"/>
      <c r="S73" s="13"/>
      <c r="T73" s="13"/>
      <c r="U73" s="13"/>
      <c r="V73" s="26"/>
    </row>
    <row r="74" spans="1:22" x14ac:dyDescent="0.25">
      <c r="K74" s="4"/>
      <c r="L74" s="13"/>
      <c r="M74" s="155" t="s">
        <v>1487</v>
      </c>
      <c r="N74" s="13" t="s">
        <v>425</v>
      </c>
      <c r="O74" s="13"/>
      <c r="P74" s="13"/>
      <c r="Q74" s="13"/>
      <c r="R74" s="13"/>
      <c r="S74" s="13"/>
      <c r="T74" s="13"/>
      <c r="U74" s="13"/>
      <c r="V74" s="26"/>
    </row>
    <row r="75" spans="1:22" x14ac:dyDescent="0.25">
      <c r="K75" s="4"/>
      <c r="L75" s="13"/>
      <c r="M75" s="155"/>
      <c r="N75" s="13" t="s">
        <v>456</v>
      </c>
      <c r="O75" s="13"/>
      <c r="P75" s="13"/>
      <c r="Q75" s="13"/>
      <c r="R75" s="13"/>
      <c r="S75" s="13"/>
      <c r="T75" s="13"/>
      <c r="U75" s="13"/>
      <c r="V75" s="26"/>
    </row>
    <row r="76" spans="1:22" x14ac:dyDescent="0.25">
      <c r="K76" s="4"/>
      <c r="L76" s="13"/>
      <c r="M76" s="155"/>
      <c r="N76" s="13" t="str">
        <f>D9</f>
        <v>TABELA DE TERRAPLENAGEM, PAVIMENTAÇÃO E OBRAS DE ARTE ESPECIAIS - MAR/18 - COM DESONERAÇÃO (T135) - DATA BASE: 01/03/2018</v>
      </c>
      <c r="O76" s="13"/>
      <c r="P76" s="13"/>
      <c r="Q76" s="13"/>
      <c r="R76" s="13"/>
      <c r="S76" s="13"/>
      <c r="T76" s="13"/>
      <c r="U76" s="13"/>
      <c r="V76" s="26"/>
    </row>
    <row r="77" spans="1:22" x14ac:dyDescent="0.25">
      <c r="K77" s="4"/>
      <c r="L77" s="13"/>
      <c r="M77" s="155" t="s">
        <v>1488</v>
      </c>
      <c r="N77" s="619">
        <v>44236</v>
      </c>
      <c r="O77" s="13"/>
      <c r="P77" s="13"/>
      <c r="Q77" s="13"/>
      <c r="R77" s="13"/>
      <c r="S77" s="13"/>
      <c r="T77" s="13"/>
      <c r="U77" s="13"/>
      <c r="V77" s="26"/>
    </row>
    <row r="78" spans="1:22" ht="15.75" thickBot="1" x14ac:dyDescent="0.3">
      <c r="K78" s="78"/>
      <c r="L78" s="28"/>
      <c r="M78" s="156" t="s">
        <v>277</v>
      </c>
      <c r="N78" s="28" t="s">
        <v>1490</v>
      </c>
      <c r="O78" s="28"/>
      <c r="P78" s="28"/>
      <c r="Q78" s="28"/>
      <c r="R78" s="28"/>
      <c r="S78" s="28"/>
      <c r="T78" s="28"/>
      <c r="U78" s="28"/>
      <c r="V78" s="29"/>
    </row>
    <row r="79" spans="1:22" s="13" customFormat="1" ht="15.75" thickBot="1" x14ac:dyDescent="0.3">
      <c r="D79" s="2"/>
      <c r="M79" s="155"/>
    </row>
    <row r="80" spans="1:22" x14ac:dyDescent="0.25">
      <c r="K80" s="613" t="s">
        <v>1408</v>
      </c>
      <c r="L80" s="614"/>
      <c r="M80" s="614"/>
      <c r="N80" s="614"/>
      <c r="O80" s="614"/>
      <c r="P80" s="614"/>
      <c r="Q80" s="614"/>
      <c r="R80" s="614"/>
      <c r="S80" s="615"/>
      <c r="U80" s="609" t="s">
        <v>1424</v>
      </c>
      <c r="V80" s="610"/>
    </row>
    <row r="81" spans="11:22" x14ac:dyDescent="0.25">
      <c r="K81" s="616" t="s">
        <v>1409</v>
      </c>
      <c r="L81" s="617"/>
      <c r="M81" s="617"/>
      <c r="N81" s="617"/>
      <c r="O81" s="617"/>
      <c r="P81" s="617"/>
      <c r="Q81" s="617"/>
      <c r="R81" s="617"/>
      <c r="S81" s="618"/>
      <c r="U81" s="611" t="s">
        <v>1425</v>
      </c>
      <c r="V81" s="612"/>
    </row>
    <row r="82" spans="11:22" x14ac:dyDescent="0.25">
      <c r="K82" s="101"/>
      <c r="L82" s="102"/>
      <c r="M82" s="103"/>
      <c r="N82" s="103"/>
      <c r="O82" s="103"/>
      <c r="P82" s="103"/>
      <c r="Q82" s="103"/>
      <c r="R82" s="104"/>
      <c r="S82" s="105"/>
      <c r="U82" s="131" t="s">
        <v>1426</v>
      </c>
      <c r="V82" s="132" t="s">
        <v>1427</v>
      </c>
    </row>
    <row r="83" spans="11:22" x14ac:dyDescent="0.25">
      <c r="K83" s="600" t="s">
        <v>1410</v>
      </c>
      <c r="L83" s="601"/>
      <c r="M83" s="601"/>
      <c r="N83" s="601"/>
      <c r="O83" s="601"/>
      <c r="P83" s="601"/>
      <c r="Q83" s="601"/>
      <c r="R83" s="601"/>
      <c r="S83" s="602"/>
      <c r="U83" s="131" t="s">
        <v>1428</v>
      </c>
      <c r="V83" s="133" t="s">
        <v>1429</v>
      </c>
    </row>
    <row r="84" spans="11:22" x14ac:dyDescent="0.25">
      <c r="K84" s="603" t="s">
        <v>1411</v>
      </c>
      <c r="L84" s="604"/>
      <c r="M84" s="604"/>
      <c r="N84" s="604"/>
      <c r="O84" s="604"/>
      <c r="P84" s="604"/>
      <c r="Q84" s="604"/>
      <c r="R84" s="604"/>
      <c r="S84" s="605"/>
      <c r="U84" s="131" t="s">
        <v>1430</v>
      </c>
      <c r="V84" s="134">
        <v>260</v>
      </c>
    </row>
    <row r="85" spans="11:22" ht="15.75" thickBot="1" x14ac:dyDescent="0.3">
      <c r="K85" s="106" t="s">
        <v>2</v>
      </c>
      <c r="L85" s="107" t="s">
        <v>1412</v>
      </c>
      <c r="M85" s="108" t="s">
        <v>1413</v>
      </c>
      <c r="N85" s="108" t="s">
        <v>1414</v>
      </c>
      <c r="O85" s="108" t="s">
        <v>1415</v>
      </c>
      <c r="P85" s="108" t="s">
        <v>1416</v>
      </c>
      <c r="Q85" s="108" t="s">
        <v>1417</v>
      </c>
      <c r="R85" s="109" t="s">
        <v>1478</v>
      </c>
      <c r="S85" s="110" t="s">
        <v>1418</v>
      </c>
      <c r="U85" s="135" t="s">
        <v>1431</v>
      </c>
      <c r="V85" s="136">
        <f>(26.939+0.253*V84)*(1.38626/100)*100</f>
        <v>128.53264094000002</v>
      </c>
    </row>
    <row r="86" spans="11:22" x14ac:dyDescent="0.25">
      <c r="K86" s="111">
        <v>1</v>
      </c>
      <c r="L86" s="112">
        <v>2393</v>
      </c>
      <c r="M86" s="113" t="s">
        <v>1419</v>
      </c>
      <c r="N86" s="114">
        <v>3.96557</v>
      </c>
      <c r="O86" s="112" t="s">
        <v>1420</v>
      </c>
      <c r="P86" s="115">
        <f>N86*1000</f>
        <v>3965.57</v>
      </c>
      <c r="Q86" s="116">
        <f>P86*0.17</f>
        <v>674.14690000000007</v>
      </c>
      <c r="R86" s="116">
        <f>P86*0.1709</f>
        <v>677.715913</v>
      </c>
      <c r="S86" s="117">
        <f>P86+Q86+R86</f>
        <v>5317.4328130000004</v>
      </c>
    </row>
    <row r="87" spans="11:22" x14ac:dyDescent="0.25">
      <c r="K87" s="118">
        <v>2</v>
      </c>
      <c r="L87" s="112">
        <v>60740</v>
      </c>
      <c r="M87" s="119" t="s">
        <v>1421</v>
      </c>
      <c r="N87" s="114">
        <v>2.10941</v>
      </c>
      <c r="O87" s="112" t="s">
        <v>1420</v>
      </c>
      <c r="P87" s="115">
        <f>N87*1000</f>
        <v>2109.41</v>
      </c>
      <c r="Q87" s="116">
        <f>P87*0.17</f>
        <v>358.59969999999998</v>
      </c>
      <c r="R87" s="116">
        <f>P87*0.1709</f>
        <v>360.49816899999996</v>
      </c>
      <c r="S87" s="117">
        <f>P87+Q87+R87</f>
        <v>2828.5078689999996</v>
      </c>
    </row>
    <row r="88" spans="11:22" ht="15.75" thickBot="1" x14ac:dyDescent="0.3">
      <c r="K88" s="120"/>
      <c r="L88" s="121"/>
      <c r="M88" s="122"/>
      <c r="N88" s="123"/>
      <c r="O88" s="121"/>
      <c r="P88" s="124"/>
      <c r="Q88" s="125"/>
      <c r="R88" s="125"/>
      <c r="S88" s="126"/>
    </row>
    <row r="89" spans="11:22" x14ac:dyDescent="0.25">
      <c r="K89" s="13"/>
      <c r="L89" s="97"/>
      <c r="M89" s="13"/>
      <c r="N89" s="13"/>
      <c r="O89" s="13"/>
      <c r="P89" s="13"/>
      <c r="Q89" s="13"/>
      <c r="R89" s="13"/>
      <c r="S89" s="13"/>
    </row>
    <row r="90" spans="11:22" x14ac:dyDescent="0.25">
      <c r="K90" s="13"/>
      <c r="L90" s="97"/>
      <c r="M90" s="127"/>
      <c r="N90" s="13"/>
      <c r="O90" s="13"/>
      <c r="P90" s="13"/>
      <c r="Q90" s="13"/>
      <c r="R90" s="13"/>
      <c r="S90" s="13"/>
    </row>
    <row r="91" spans="11:22" x14ac:dyDescent="0.25">
      <c r="K91" s="13"/>
      <c r="L91" s="97"/>
      <c r="M91" s="128" t="s">
        <v>1422</v>
      </c>
      <c r="N91" s="13"/>
      <c r="O91" s="13"/>
      <c r="P91" s="13"/>
      <c r="Q91" s="13"/>
      <c r="R91" s="13"/>
      <c r="S91" s="31" t="s">
        <v>272</v>
      </c>
    </row>
    <row r="92" spans="11:22" x14ac:dyDescent="0.25">
      <c r="K92" s="13"/>
      <c r="L92" s="97"/>
      <c r="M92" s="128" t="s">
        <v>273</v>
      </c>
      <c r="N92" s="13"/>
      <c r="O92" s="13"/>
      <c r="P92" s="13"/>
      <c r="Q92" s="13"/>
      <c r="R92" s="13"/>
      <c r="S92" s="32" t="s">
        <v>453</v>
      </c>
    </row>
    <row r="93" spans="11:22" x14ac:dyDescent="0.25">
      <c r="K93" s="13"/>
      <c r="L93" s="97"/>
      <c r="M93" s="129" t="s">
        <v>274</v>
      </c>
      <c r="N93" s="13"/>
      <c r="O93" s="13"/>
      <c r="P93" s="13"/>
      <c r="Q93" s="13"/>
      <c r="R93" s="13"/>
      <c r="S93" s="46" t="s">
        <v>275</v>
      </c>
    </row>
    <row r="94" spans="11:22" x14ac:dyDescent="0.25">
      <c r="K94" s="13"/>
      <c r="L94" s="97"/>
      <c r="M94" s="129" t="s">
        <v>275</v>
      </c>
      <c r="N94" s="13"/>
      <c r="O94" s="13"/>
      <c r="P94" s="13"/>
      <c r="Q94" s="130"/>
      <c r="R94" s="97"/>
      <c r="S94" s="46" t="s">
        <v>454</v>
      </c>
    </row>
    <row r="95" spans="11:22" x14ac:dyDescent="0.25">
      <c r="K95" s="13"/>
      <c r="L95" s="97"/>
      <c r="M95" s="129" t="s">
        <v>1423</v>
      </c>
      <c r="N95" s="13"/>
      <c r="O95" s="13"/>
      <c r="P95" s="13"/>
      <c r="Q95" s="130"/>
      <c r="R95" s="157"/>
      <c r="S95" s="13"/>
    </row>
  </sheetData>
  <mergeCells count="41">
    <mergeCell ref="U80:V80"/>
    <mergeCell ref="U81:V81"/>
    <mergeCell ref="A59:C59"/>
    <mergeCell ref="K80:S80"/>
    <mergeCell ref="K81:S81"/>
    <mergeCell ref="K83:S83"/>
    <mergeCell ref="K84:S84"/>
    <mergeCell ref="A34:C34"/>
    <mergeCell ref="A36:I36"/>
    <mergeCell ref="A38:H38"/>
    <mergeCell ref="A39:I39"/>
    <mergeCell ref="A44:H44"/>
    <mergeCell ref="A56:H56"/>
    <mergeCell ref="A57:H57"/>
    <mergeCell ref="A45:H45"/>
    <mergeCell ref="A46:C46"/>
    <mergeCell ref="A48:I48"/>
    <mergeCell ref="A50:H50"/>
    <mergeCell ref="A51:I51"/>
    <mergeCell ref="D34:I34"/>
    <mergeCell ref="D46:I46"/>
    <mergeCell ref="A33:H33"/>
    <mergeCell ref="A32:H32"/>
    <mergeCell ref="D6:I6"/>
    <mergeCell ref="D10:I10"/>
    <mergeCell ref="D11:I11"/>
    <mergeCell ref="A19:I19"/>
    <mergeCell ref="D1:I1"/>
    <mergeCell ref="A15:I15"/>
    <mergeCell ref="A1:B11"/>
    <mergeCell ref="A13:C13"/>
    <mergeCell ref="A18:H18"/>
    <mergeCell ref="D2:I2"/>
    <mergeCell ref="D4:I4"/>
    <mergeCell ref="D5:I5"/>
    <mergeCell ref="D7:I7"/>
    <mergeCell ref="D8:I8"/>
    <mergeCell ref="D3:I3"/>
    <mergeCell ref="D9:I9"/>
    <mergeCell ref="D13:I13"/>
    <mergeCell ref="B12:I12"/>
  </mergeCells>
  <phoneticPr fontId="1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30" orientation="landscape" r:id="rId1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10</xdr:col>
                <xdr:colOff>104775</xdr:colOff>
                <xdr:row>79</xdr:row>
                <xdr:rowOff>47625</xdr:rowOff>
              </from>
              <to>
                <xdr:col>11</xdr:col>
                <xdr:colOff>85725</xdr:colOff>
                <xdr:row>81</xdr:row>
                <xdr:rowOff>180975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</vt:lpstr>
      <vt:lpstr>MEMÓRIA DE CÁLCULO</vt:lpstr>
      <vt:lpstr>BDI (23,88%)</vt:lpstr>
      <vt:lpstr>CRONOGRAMA</vt:lpstr>
      <vt:lpstr>COMPOSIÇÃO</vt:lpstr>
      <vt:lpstr>VALOR_TOTAL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2021-02-23T13:39:20Z</dcterms:modified>
</cp:coreProperties>
</file>