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CESSOS - EM ANÁLISE\UPA  (D)\Reforma 2024\"/>
    </mc:Choice>
  </mc:AlternateContent>
  <bookViews>
    <workbookView xWindow="0" yWindow="0" windowWidth="28800" windowHeight="12210" activeTab="4"/>
  </bookViews>
  <sheets>
    <sheet name="BDI(24,65%)" sheetId="5" r:id="rId1"/>
    <sheet name="ORÇAMENTO" sheetId="2" r:id="rId2"/>
    <sheet name="COMPOSIÇÃO " sheetId="7" r:id="rId3"/>
    <sheet name="MEMORIA" sheetId="1" r:id="rId4"/>
    <sheet name="CRONOGRAMA" sheetId="4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A96" i="1"/>
  <c r="D98" i="1"/>
  <c r="C93" i="1"/>
  <c r="D62" i="1"/>
  <c r="D94" i="1"/>
  <c r="D95" i="1" s="1"/>
  <c r="F50" i="2" s="1"/>
  <c r="B94" i="1"/>
  <c r="B93" i="1"/>
  <c r="A93" i="1"/>
  <c r="A3" i="7" l="1"/>
  <c r="A5" i="1"/>
  <c r="A4" i="1"/>
  <c r="D5" i="4" s="1"/>
  <c r="A3" i="1"/>
  <c r="D4" i="4" s="1"/>
  <c r="A5" i="7"/>
  <c r="D64" i="1"/>
  <c r="D65" i="1" s="1"/>
  <c r="F37" i="2" s="1"/>
  <c r="I37" i="2" s="1"/>
  <c r="D13" i="1"/>
  <c r="D10" i="1"/>
  <c r="C63" i="1" l="1"/>
  <c r="B63" i="1"/>
  <c r="A63" i="1"/>
  <c r="G45" i="7" l="1"/>
  <c r="I50" i="2" l="1"/>
  <c r="I51" i="2"/>
  <c r="B20" i="4"/>
  <c r="B17" i="4"/>
  <c r="D11" i="1"/>
  <c r="F10" i="2" s="1"/>
  <c r="D14" i="1"/>
  <c r="D86" i="1"/>
  <c r="D87" i="1" s="1"/>
  <c r="F48" i="2" s="1"/>
  <c r="I48" i="2" s="1"/>
  <c r="D91" i="1"/>
  <c r="D90" i="1"/>
  <c r="D89" i="1"/>
  <c r="C88" i="1"/>
  <c r="B88" i="1"/>
  <c r="A88" i="1"/>
  <c r="A34" i="7"/>
  <c r="I45" i="7"/>
  <c r="C100" i="1"/>
  <c r="B100" i="1"/>
  <c r="A100" i="1"/>
  <c r="B99" i="1"/>
  <c r="A99" i="1"/>
  <c r="D102" i="1"/>
  <c r="F55" i="2" s="1"/>
  <c r="I55" i="2" s="1"/>
  <c r="I56" i="2" s="1"/>
  <c r="C84" i="1"/>
  <c r="B84" i="1"/>
  <c r="A84" i="1"/>
  <c r="D82" i="1"/>
  <c r="D83" i="1" s="1"/>
  <c r="F47" i="2" s="1"/>
  <c r="I47" i="2" s="1"/>
  <c r="C81" i="1"/>
  <c r="C78" i="1"/>
  <c r="B81" i="1"/>
  <c r="A81" i="1"/>
  <c r="D80" i="1"/>
  <c r="F46" i="2" s="1"/>
  <c r="I46" i="2" s="1"/>
  <c r="B78" i="1"/>
  <c r="A78" i="1"/>
  <c r="B77" i="1"/>
  <c r="A77" i="1"/>
  <c r="A67" i="1"/>
  <c r="D76" i="1"/>
  <c r="F42" i="2" s="1"/>
  <c r="I42" i="2" s="1"/>
  <c r="C72" i="1"/>
  <c r="B72" i="1"/>
  <c r="A72" i="1"/>
  <c r="C67" i="1"/>
  <c r="D71" i="1"/>
  <c r="F41" i="2" s="1"/>
  <c r="I41" i="2" s="1"/>
  <c r="C53" i="1"/>
  <c r="B67" i="1"/>
  <c r="B66" i="1"/>
  <c r="A66" i="1"/>
  <c r="F28" i="7"/>
  <c r="F37" i="7"/>
  <c r="I37" i="7" s="1"/>
  <c r="F36" i="7"/>
  <c r="I36" i="7" s="1"/>
  <c r="B53" i="1"/>
  <c r="A53" i="1"/>
  <c r="B34" i="7"/>
  <c r="I41" i="7"/>
  <c r="I40" i="7"/>
  <c r="I39" i="7"/>
  <c r="I38" i="7"/>
  <c r="F27" i="7"/>
  <c r="I29" i="7"/>
  <c r="I20" i="7"/>
  <c r="D55" i="1"/>
  <c r="C50" i="1"/>
  <c r="B50" i="1"/>
  <c r="A50" i="1"/>
  <c r="D52" i="1"/>
  <c r="F30" i="2" s="1"/>
  <c r="D46" i="1"/>
  <c r="F28" i="2" s="1"/>
  <c r="D49" i="1"/>
  <c r="F29" i="2" s="1"/>
  <c r="D92" i="1" l="1"/>
  <c r="F49" i="2" s="1"/>
  <c r="I49" i="2" s="1"/>
  <c r="I52" i="2" s="1"/>
  <c r="I43" i="2"/>
  <c r="I42" i="7"/>
  <c r="G31" i="2" s="1"/>
  <c r="I31" i="2" s="1"/>
  <c r="C47" i="1" l="1"/>
  <c r="B47" i="1"/>
  <c r="A47" i="1"/>
  <c r="B60" i="1"/>
  <c r="A60" i="1"/>
  <c r="C57" i="1"/>
  <c r="A57" i="1"/>
  <c r="B57" i="1"/>
  <c r="B56" i="1"/>
  <c r="F36" i="2"/>
  <c r="I36" i="2" s="1"/>
  <c r="C60" i="1"/>
  <c r="D59" i="1"/>
  <c r="F35" i="2" s="1"/>
  <c r="I11" i="7"/>
  <c r="I49" i="7"/>
  <c r="I48" i="7"/>
  <c r="I47" i="7"/>
  <c r="I46" i="7"/>
  <c r="B43" i="7"/>
  <c r="A43" i="7"/>
  <c r="B25" i="7"/>
  <c r="A25" i="7"/>
  <c r="A16" i="7"/>
  <c r="F19" i="7"/>
  <c r="I19" i="7" s="1"/>
  <c r="F18" i="7"/>
  <c r="I18" i="7" s="1"/>
  <c r="B16" i="7"/>
  <c r="I32" i="7"/>
  <c r="I31" i="7"/>
  <c r="I30" i="7"/>
  <c r="I28" i="7"/>
  <c r="I27" i="7"/>
  <c r="I23" i="7"/>
  <c r="I22" i="7"/>
  <c r="I21" i="7"/>
  <c r="I12" i="7"/>
  <c r="I13" i="7"/>
  <c r="I14" i="7"/>
  <c r="F10" i="7"/>
  <c r="I10" i="7" s="1"/>
  <c r="F9" i="7"/>
  <c r="I9" i="7" s="1"/>
  <c r="B7" i="7"/>
  <c r="A4" i="7"/>
  <c r="I15" i="7" l="1"/>
  <c r="G28" i="2" s="1"/>
  <c r="I28" i="2" s="1"/>
  <c r="I50" i="7"/>
  <c r="G35" i="2" s="1"/>
  <c r="I24" i="7"/>
  <c r="G29" i="2" s="1"/>
  <c r="I29" i="2" s="1"/>
  <c r="I33" i="7"/>
  <c r="G30" i="2" s="1"/>
  <c r="I30" i="2" s="1"/>
  <c r="I35" i="2"/>
  <c r="I38" i="2" s="1"/>
  <c r="I32" i="2" l="1"/>
  <c r="A44" i="1"/>
  <c r="B44" i="1"/>
  <c r="B43" i="1"/>
  <c r="A43" i="1"/>
  <c r="D42" i="1"/>
  <c r="F24" i="2" s="1"/>
  <c r="I24" i="2" s="1"/>
  <c r="D39" i="1"/>
  <c r="F23" i="2" s="1"/>
  <c r="I23" i="2" s="1"/>
  <c r="D41" i="1"/>
  <c r="B40" i="1"/>
  <c r="A40" i="1"/>
  <c r="B37" i="1"/>
  <c r="A37" i="1"/>
  <c r="C40" i="1"/>
  <c r="D38" i="1"/>
  <c r="C37" i="1"/>
  <c r="D35" i="1"/>
  <c r="D36" i="1" s="1"/>
  <c r="F22" i="2" s="1"/>
  <c r="I22" i="2" s="1"/>
  <c r="I25" i="2" s="1"/>
  <c r="C34" i="1"/>
  <c r="B34" i="1"/>
  <c r="A34" i="1"/>
  <c r="B33" i="1"/>
  <c r="A33" i="1"/>
  <c r="D31" i="1"/>
  <c r="C26" i="1"/>
  <c r="B26" i="1"/>
  <c r="A26" i="1"/>
  <c r="B25" i="1"/>
  <c r="A25" i="1"/>
  <c r="D24" i="1"/>
  <c r="F14" i="2" s="1"/>
  <c r="I14" i="2" s="1"/>
  <c r="C21" i="1"/>
  <c r="B21" i="1"/>
  <c r="A21" i="1"/>
  <c r="F11" i="2"/>
  <c r="I11" i="2" s="1"/>
  <c r="I10" i="2"/>
  <c r="D19" i="1"/>
  <c r="D20" i="1" s="1"/>
  <c r="C18" i="1"/>
  <c r="B18" i="1"/>
  <c r="A18" i="1"/>
  <c r="D16" i="1"/>
  <c r="D17" i="1" s="1"/>
  <c r="F12" i="2" s="1"/>
  <c r="I12" i="2" s="1"/>
  <c r="A12" i="1"/>
  <c r="B12" i="1"/>
  <c r="C12" i="1"/>
  <c r="C15" i="1"/>
  <c r="B15" i="1"/>
  <c r="A15" i="1"/>
  <c r="D30" i="1" l="1"/>
  <c r="F13" i="2"/>
  <c r="I13" i="2" s="1"/>
  <c r="I15" i="2" s="1"/>
  <c r="D29" i="1"/>
  <c r="D32" i="1" s="1"/>
  <c r="F18" i="2" s="1"/>
  <c r="I18" i="2" s="1"/>
  <c r="I19" i="2" s="1"/>
  <c r="J56" i="2"/>
  <c r="C34" i="4" s="1"/>
  <c r="J32" i="2"/>
  <c r="C22" i="4" s="1"/>
  <c r="C9" i="1"/>
  <c r="E22" i="4" l="1"/>
  <c r="D22" i="4"/>
  <c r="B9" i="1"/>
  <c r="A9" i="1"/>
  <c r="E7" i="5" l="1"/>
  <c r="E6" i="5"/>
  <c r="E5" i="5"/>
  <c r="D6" i="5"/>
  <c r="D5" i="5"/>
  <c r="B32" i="4" l="1"/>
  <c r="A32" i="4"/>
  <c r="B29" i="4"/>
  <c r="A29" i="4"/>
  <c r="B26" i="4"/>
  <c r="A26" i="4"/>
  <c r="B23" i="4"/>
  <c r="A23" i="4"/>
  <c r="B14" i="4"/>
  <c r="A14" i="4"/>
  <c r="B11" i="4"/>
  <c r="A11" i="4"/>
  <c r="D6" i="4"/>
  <c r="J25" i="2" l="1"/>
  <c r="C19" i="4" s="1"/>
  <c r="D19" i="4" s="1"/>
  <c r="J43" i="2"/>
  <c r="C28" i="4" s="1"/>
  <c r="E28" i="4" s="1"/>
  <c r="J52" i="2"/>
  <c r="D28" i="4" l="1"/>
  <c r="C31" i="4"/>
  <c r="E31" i="4" s="1"/>
  <c r="D31" i="4" l="1"/>
  <c r="J19" i="2"/>
  <c r="C16" i="4" l="1"/>
  <c r="E19" i="4" l="1"/>
  <c r="D16" i="4"/>
  <c r="E16" i="4"/>
  <c r="L55" i="2" l="1"/>
  <c r="E34" i="4" l="1"/>
  <c r="I58" i="2"/>
  <c r="I59" i="2" s="1"/>
  <c r="I60" i="2" s="1"/>
  <c r="J38" i="2" l="1"/>
  <c r="C25" i="4" s="1"/>
  <c r="D25" i="4" s="1"/>
  <c r="E25" i="4" l="1"/>
  <c r="J15" i="2" l="1"/>
  <c r="C13" i="4" l="1"/>
  <c r="D13" i="4" s="1"/>
  <c r="D38" i="4" s="1"/>
  <c r="D39" i="4" s="1"/>
  <c r="L57" i="2"/>
  <c r="E38" i="4" l="1"/>
  <c r="E39" i="4" s="1"/>
  <c r="D36" i="4" s="1"/>
  <c r="D37" i="4" s="1"/>
  <c r="E36" i="4" l="1"/>
  <c r="E37" i="4" s="1"/>
</calcChain>
</file>

<file path=xl/sharedStrings.xml><?xml version="1.0" encoding="utf-8"?>
<sst xmlns="http://schemas.openxmlformats.org/spreadsheetml/2006/main" count="456" uniqueCount="234">
  <si>
    <t>ITEM</t>
  </si>
  <si>
    <t>CODIGO</t>
  </si>
  <si>
    <t>DESCRIÇÃO</t>
  </si>
  <si>
    <t>UND</t>
  </si>
  <si>
    <t>QUANT.</t>
  </si>
  <si>
    <t>MATERIAL</t>
  </si>
  <si>
    <t>MÃO DE OBRA</t>
  </si>
  <si>
    <t>TOTAL</t>
  </si>
  <si>
    <t>TOTAL C/ BDI</t>
  </si>
  <si>
    <t>GRUPO DE SERVIÇO: 164- SERVIÇOS PRELIMINARES</t>
  </si>
  <si>
    <t>SERVIÇOS PRELIMINARES</t>
  </si>
  <si>
    <t>SUBTOTAL</t>
  </si>
  <si>
    <t>GRUPO DE SERVIÇO: 165- TRANSPORTES</t>
  </si>
  <si>
    <t>TRANSPORTES</t>
  </si>
  <si>
    <t>GRUPO DE SERVIÇO:184-REVESTIMENTO DE PISO</t>
  </si>
  <si>
    <t>220000</t>
  </si>
  <si>
    <t>REVESTIMENTO DE PISO</t>
  </si>
  <si>
    <t xml:space="preserve">GRUPO DE SERVIÇO:188- PINTURA </t>
  </si>
  <si>
    <t>260000</t>
  </si>
  <si>
    <t>PINTURA</t>
  </si>
  <si>
    <t>GRUPO DE SERVIÇO:189- DIVERSOS</t>
  </si>
  <si>
    <t>270000</t>
  </si>
  <si>
    <t>DIVERSOS</t>
  </si>
  <si>
    <t>TOTAL COM BDI:</t>
  </si>
  <si>
    <t>Área</t>
  </si>
  <si>
    <t>CRONOGRAMA FÍSICO E FINANCEIRO</t>
  </si>
  <si>
    <t>SERVIÇOS</t>
  </si>
  <si>
    <t>DURAÇÃO</t>
  </si>
  <si>
    <t>1º MÊS</t>
  </si>
  <si>
    <t>2º MÊS</t>
  </si>
  <si>
    <t>PERCENTUAL GLOBAL MENSAL</t>
  </si>
  <si>
    <t>PERCENTUAL GLOBAL ACUMULADO</t>
  </si>
  <si>
    <t>VALOR MENSAL</t>
  </si>
  <si>
    <t>VALOR ACUMULADO</t>
  </si>
  <si>
    <t>OBJETO:</t>
  </si>
  <si>
    <t>TABELAS:</t>
  </si>
  <si>
    <t>Responsável técnico</t>
  </si>
  <si>
    <t>BDI (24,65%)</t>
  </si>
  <si>
    <t>TABELA DE CUSTOS DE OBRAS CIVIS - T243 - Fevereiro/2024 - COM DESONERAÇÃO</t>
  </si>
  <si>
    <t>COMPOSIÇÃO BDI (BENEFÍCIOS E DISPESAS INDIRETAS)</t>
  </si>
  <si>
    <t>ACÓRDÃO 2.622/2013 – TCU – PLENÁRIO / PORTARIA 449/2015 PR-AGETOP</t>
  </si>
  <si>
    <t>3,00%</t>
  </si>
  <si>
    <t>6,16%</t>
  </si>
  <si>
    <t>0,90</t>
  </si>
  <si>
    <t>0,12%</t>
  </si>
  <si>
    <t>0,97%</t>
  </si>
  <si>
    <t>2,40%</t>
  </si>
  <si>
    <t>0,65%</t>
  </si>
  <si>
    <t>4,50%</t>
  </si>
  <si>
    <t>24,65%</t>
  </si>
  <si>
    <t>(3) Valor calculado pela expressão matemática do acórdão 2.369/2011 – TCU – Plenário. (Foi utilizado o valor da Taxa SELIC, estabelecida pela 261ª reunião do COPOM em 20/03/2024 e ata de publicação em 26/03/2024).</t>
  </si>
  <si>
    <t>Onde:</t>
  </si>
  <si>
    <t>AC = taxa de administração central</t>
  </si>
  <si>
    <t>S = taxa de seguros</t>
  </si>
  <si>
    <t>R = taxa de riscos</t>
  </si>
  <si>
    <t>G = Taxa de garantias</t>
  </si>
  <si>
    <t>DF = taxa de despesas financeiras</t>
  </si>
  <si>
    <t>L = taxa de lucro/remuneração</t>
  </si>
  <si>
    <t>I = taxa de incidência de impostos (PIS, COFINS, CPRB e ISS)</t>
  </si>
  <si>
    <t>____________________________________________________</t>
  </si>
  <si>
    <r>
      <t xml:space="preserve">Administração Central </t>
    </r>
    <r>
      <rPr>
        <b/>
        <vertAlign val="superscript"/>
        <sz val="14"/>
        <rFont val="Calibri"/>
        <family val="2"/>
        <scheme val="minor"/>
      </rPr>
      <t>(1)</t>
    </r>
  </si>
  <si>
    <r>
      <t xml:space="preserve">Lucro </t>
    </r>
    <r>
      <rPr>
        <b/>
        <vertAlign val="superscript"/>
        <sz val="14"/>
        <rFont val="Calibri"/>
        <family val="2"/>
        <scheme val="minor"/>
      </rPr>
      <t>(2)</t>
    </r>
  </si>
  <si>
    <r>
      <t xml:space="preserve">Despesas financeiras </t>
    </r>
    <r>
      <rPr>
        <b/>
        <vertAlign val="superscript"/>
        <sz val="14"/>
        <rFont val="Calibri"/>
        <family val="2"/>
        <scheme val="minor"/>
      </rPr>
      <t>(3)</t>
    </r>
  </si>
  <si>
    <r>
      <t xml:space="preserve">Seguros + garantias </t>
    </r>
    <r>
      <rPr>
        <b/>
        <vertAlign val="superscript"/>
        <sz val="14"/>
        <rFont val="Calibri"/>
        <family val="2"/>
        <scheme val="minor"/>
      </rPr>
      <t>(4)</t>
    </r>
  </si>
  <si>
    <r>
      <t xml:space="preserve">Riscos </t>
    </r>
    <r>
      <rPr>
        <b/>
        <vertAlign val="superscript"/>
        <sz val="14"/>
        <rFont val="Calibri"/>
        <family val="2"/>
        <scheme val="minor"/>
      </rPr>
      <t>(5)</t>
    </r>
  </si>
  <si>
    <r>
      <t xml:space="preserve">ISS </t>
    </r>
    <r>
      <rPr>
        <b/>
        <vertAlign val="superscript"/>
        <sz val="14"/>
        <rFont val="Calibri"/>
        <family val="2"/>
        <scheme val="minor"/>
      </rPr>
      <t>(6)</t>
    </r>
  </si>
  <si>
    <r>
      <t xml:space="preserve">PIS </t>
    </r>
    <r>
      <rPr>
        <b/>
        <vertAlign val="superscript"/>
        <sz val="14"/>
        <rFont val="Calibri"/>
        <family val="2"/>
        <scheme val="minor"/>
      </rPr>
      <t>(7)</t>
    </r>
  </si>
  <si>
    <r>
      <t xml:space="preserve">COFINS </t>
    </r>
    <r>
      <rPr>
        <b/>
        <vertAlign val="superscript"/>
        <sz val="14"/>
        <rFont val="Calibri"/>
        <family val="2"/>
        <scheme val="minor"/>
      </rPr>
      <t>(8)</t>
    </r>
  </si>
  <si>
    <r>
      <t xml:space="preserve">CPRB </t>
    </r>
    <r>
      <rPr>
        <b/>
        <vertAlign val="superscript"/>
        <sz val="14"/>
        <rFont val="Calibri"/>
        <family val="2"/>
        <scheme val="minor"/>
      </rPr>
      <t>(9)</t>
    </r>
  </si>
  <si>
    <r>
      <t xml:space="preserve">Resultado </t>
    </r>
    <r>
      <rPr>
        <b/>
        <vertAlign val="superscript"/>
        <sz val="14"/>
        <rFont val="Calibri"/>
        <family val="2"/>
        <scheme val="minor"/>
      </rPr>
      <t>(*)</t>
    </r>
  </si>
  <si>
    <r>
      <rPr>
        <b/>
        <vertAlign val="superscript"/>
        <sz val="12"/>
        <color rgb="FF000000"/>
        <rFont val="Calibri"/>
        <family val="2"/>
        <scheme val="minor"/>
      </rPr>
      <t>(1)</t>
    </r>
    <r>
      <rPr>
        <sz val="12"/>
        <color rgb="FF000000"/>
        <rFont val="Calibri"/>
        <family val="2"/>
        <scheme val="minor"/>
      </rPr>
      <t xml:space="preserve"> Valores definidos a partir dos limites no Acórdão nº 2.622/2013 - TCU – Plenário. Valores 1° quartil.</t>
    </r>
  </si>
  <si>
    <r>
      <rPr>
        <b/>
        <vertAlign val="superscript"/>
        <sz val="12"/>
        <color rgb="FF000000"/>
        <rFont val="Calibri"/>
        <family val="2"/>
        <scheme val="minor"/>
      </rPr>
      <t>(2)</t>
    </r>
    <r>
      <rPr>
        <sz val="12"/>
        <color rgb="FF000000"/>
        <rFont val="Calibri"/>
        <family val="2"/>
        <scheme val="minor"/>
      </rPr>
      <t xml:space="preserve"> Valores definidos a partir dos limites definidos no Acórdão nº 2.622/2013 - TCU – Plenário.  Valores 1° quartil.</t>
    </r>
  </si>
  <si>
    <r>
      <rPr>
        <b/>
        <vertAlign val="superscript"/>
        <sz val="12"/>
        <color rgb="FF000000"/>
        <rFont val="Calibri"/>
        <family val="2"/>
        <scheme val="minor"/>
      </rPr>
      <t>(4)</t>
    </r>
    <r>
      <rPr>
        <sz val="12"/>
        <color rgb="FF000000"/>
        <rFont val="Calibri"/>
        <family val="2"/>
        <scheme val="minor"/>
      </rPr>
      <t xml:space="preserve"> Valores definidos a partir dos limites no Acórdão nº2.622/2013 - TCU – Plenário. Valores médios. (Seguros contra erros de execução, incêndio e explosão, danos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Apartir de 24/02/2015 por intermédio da Portaria 449/2015 a Presidência desta casa, na pessoa do Senhor Jayme Eduardo Rincon, determinou a exclusão dos valores referentes aos Seguros de Risco de Engenharia e Responsabilidade Civil do Profissional na composição do cálculo do B.D.I..</t>
    </r>
  </si>
  <si>
    <r>
      <rPr>
        <b/>
        <vertAlign val="superscript"/>
        <sz val="12"/>
        <color rgb="FF000000"/>
        <rFont val="Calibri"/>
        <family val="2"/>
        <scheme val="minor"/>
      </rPr>
      <t>(5)</t>
    </r>
    <r>
      <rPr>
        <sz val="12"/>
        <color rgb="FF000000"/>
        <rFont val="Calibri"/>
        <family val="2"/>
        <scheme val="minor"/>
      </rPr>
      <t xml:space="preserve"> Valores definidos a partir dos limites no Acórdão nº 2.622/2013 - TCU – Plenário. Valores 1º quartil.</t>
    </r>
  </si>
  <si>
    <r>
      <rPr>
        <b/>
        <vertAlign val="superscript"/>
        <sz val="12"/>
        <color rgb="FF000000"/>
        <rFont val="Calibri"/>
        <family val="2"/>
        <scheme val="minor"/>
      </rPr>
      <t>(6)</t>
    </r>
    <r>
      <rPr>
        <sz val="12"/>
        <color rgb="FF000000"/>
        <rFont val="Calibri"/>
        <family val="2"/>
        <scheme val="minor"/>
      </rPr>
      <t xml:space="preserve"> Alíquota e base de cálculo definida pela legislação municipal, Lei 3.952 de 16 de dezembro de 2021.</t>
    </r>
  </si>
  <si>
    <r>
      <rPr>
        <b/>
        <vertAlign val="superscript"/>
        <sz val="12"/>
        <color rgb="FF000000"/>
        <rFont val="Calibri"/>
        <family val="2"/>
        <scheme val="minor"/>
      </rPr>
      <t>(7)</t>
    </r>
    <r>
      <rPr>
        <sz val="12"/>
        <color rgb="FF000000"/>
        <rFont val="Calibri"/>
        <family val="2"/>
        <scheme val="minor"/>
      </rPr>
      <t xml:space="preserve"> Alíquota definida por lei (lucro presumido).</t>
    </r>
  </si>
  <si>
    <r>
      <rPr>
        <b/>
        <vertAlign val="superscript"/>
        <sz val="12"/>
        <color rgb="FF000000"/>
        <rFont val="Calibri"/>
        <family val="2"/>
        <scheme val="minor"/>
      </rPr>
      <t>(8)</t>
    </r>
    <r>
      <rPr>
        <sz val="12"/>
        <color rgb="FF000000"/>
        <rFont val="Calibri"/>
        <family val="2"/>
        <scheme val="minor"/>
      </rPr>
      <t xml:space="preserve"> Alíquota definida pelas leis 12.546/11, 12844/13 e 13.161/15 (CPRB – contribuição previdenciária sobre a receita bruta).</t>
    </r>
  </si>
  <si>
    <r>
      <rPr>
        <b/>
        <vertAlign val="superscript"/>
        <sz val="12"/>
        <color rgb="FF000000"/>
        <rFont val="Calibri"/>
        <family val="2"/>
        <scheme val="minor"/>
      </rPr>
      <t>(*)</t>
    </r>
    <r>
      <rPr>
        <sz val="12"/>
        <color rgb="FF000000"/>
        <rFont val="Calibri"/>
        <family val="2"/>
        <scheme val="minor"/>
      </rPr>
      <t xml:space="preserve"> A fórmula para estipulação da taxa de BDI estimado adotado é a mesma que foi aplicada para aobtenção das tabelas contidas no Acórdão n.2.622/2013 – TCU - Plenário.</t>
    </r>
  </si>
  <si>
    <t xml:space="preserve">DEMOLIÇÃO MANUAL DE REVESTIMENTO COM ARGAMASSA COM TRANSPORTE ATÉ CAÇAMBA E CARGA </t>
  </si>
  <si>
    <t xml:space="preserve">m2    </t>
  </si>
  <si>
    <t>DEMOLIÇÃO MANUAL DE PISO CERÂMICO SOBRE LASTRO DE CONCRETO COM TRANSPORTE ATÉ CAÇAMBA E CARGA</t>
  </si>
  <si>
    <t>DEMOLIÇÃO MANUAL DE CALHA/RUFO EM CHAPA COM TRANSPORTE ATÉ CAÇAMBA E CARGA</t>
  </si>
  <si>
    <t xml:space="preserve"> m2    </t>
  </si>
  <si>
    <t xml:space="preserve">PLACA DE OBRA PLOTADA EM CHAPA METÁLICA 26 , AFIXADA EM CAVALETES DE MADEIRA DE LEI (VIGOTAS 6X12CM) - PADRÃO GOINFRA </t>
  </si>
  <si>
    <t>UNID.</t>
  </si>
  <si>
    <t>MEMÓRIA CÁLCULO</t>
  </si>
  <si>
    <t>1.1</t>
  </si>
  <si>
    <t>1.2</t>
  </si>
  <si>
    <t>1.3</t>
  </si>
  <si>
    <t>1.4</t>
  </si>
  <si>
    <t xml:space="preserve">GOINFRA </t>
  </si>
  <si>
    <t xml:space="preserve">TRANSPORTE DE ENTULHO CAÇAMBA ESTACIONÁRIA SEM CARGA </t>
  </si>
  <si>
    <t xml:space="preserve">m3    </t>
  </si>
  <si>
    <t>GRUPO DE SERVIÇO:178- COBERTURAS</t>
  </si>
  <si>
    <t>COBERTURAS</t>
  </si>
  <si>
    <t xml:space="preserve"> COBERTURA COM TELHA ONDULADA DE FIBROCIMENTO </t>
  </si>
  <si>
    <t xml:space="preserve"> CALHA DE CHAPA GALVANIZADA </t>
  </si>
  <si>
    <t xml:space="preserve">m   </t>
  </si>
  <si>
    <t xml:space="preserve"> RUFO DE CHAPA GALVANIZADA </t>
  </si>
  <si>
    <t>ESQUADRIAS DE MADEIRAS</t>
  </si>
  <si>
    <t>GRUPO DE SERVIÇO:178- ESQUADRIAS DE MADEIRAS</t>
  </si>
  <si>
    <t xml:space="preserve">M2              
               </t>
  </si>
  <si>
    <t xml:space="preserve"> PISO CONCRETO DESEMPENADO ESPESSURA = 5 CM  1:2,5:3,5 </t>
  </si>
  <si>
    <t xml:space="preserve">m2   </t>
  </si>
  <si>
    <t xml:space="preserve">  M2</t>
  </si>
  <si>
    <t>GRUPO DE SERVIÇO:187 ADMINISTRAÇÃO - MENSALISTAS</t>
  </si>
  <si>
    <t>ADMINISTRAÇÃO - MENSALISTAS</t>
  </si>
  <si>
    <t xml:space="preserve">ENCARREGADO - (OBRAS CIVIS) </t>
  </si>
  <si>
    <t xml:space="preserve">H     </t>
  </si>
  <si>
    <t>MESTRE DE OBRA - (OBRAS CIVIS)</t>
  </si>
  <si>
    <t xml:space="preserve"> H     </t>
  </si>
  <si>
    <t>PINTURA LATEX ACRILICO 2 DEMAOS</t>
  </si>
  <si>
    <t xml:space="preserve">EMASSAMENTO COM MASSA PVA UMA DEMAO </t>
  </si>
  <si>
    <t xml:space="preserve">PINTURA PVA LATEX 2 DEMAOS SEM SELADOR </t>
  </si>
  <si>
    <t xml:space="preserve">PINTURA TINTA POLIESPORTIVA - 2 DEMÃOS (PISOS E CIMENTADOS) </t>
  </si>
  <si>
    <t xml:space="preserve">LIMPEZA FINAL DE OBRA - (OBRAS CIVIS) </t>
  </si>
  <si>
    <t>Conforme projeto arquitetônico - Rodapé</t>
  </si>
  <si>
    <t xml:space="preserve">Altura </t>
  </si>
  <si>
    <t xml:space="preserve">Total </t>
  </si>
  <si>
    <t xml:space="preserve">Manutenção - Cobertura </t>
  </si>
  <si>
    <t xml:space="preserve">Largura </t>
  </si>
  <si>
    <t xml:space="preserve">Volume </t>
  </si>
  <si>
    <t xml:space="preserve">Demolição rodapé </t>
  </si>
  <si>
    <t>Demolição revestimento argamassa - Rodapé embutido</t>
  </si>
  <si>
    <t xml:space="preserve">Demolição de calha e rufo </t>
  </si>
  <si>
    <t xml:space="preserve">Demolição de cobertura </t>
  </si>
  <si>
    <t>DEMOLICAO MANUAL COBERTURA TELHA FIBROCIMENTO/FIBRA DE VIDRO/SIMILARES C/ TRANSP. ATÉ CB. E CARGA</t>
  </si>
  <si>
    <t xml:space="preserve">Limpeza geral - Decorrer da obra </t>
  </si>
  <si>
    <t>2.1</t>
  </si>
  <si>
    <t>3.1</t>
  </si>
  <si>
    <t>3.2</t>
  </si>
  <si>
    <t>3.3</t>
  </si>
  <si>
    <t xml:space="preserve">Área </t>
  </si>
  <si>
    <t>COMP. 01</t>
  </si>
  <si>
    <t xml:space="preserve">COMPOSIÇÃO </t>
  </si>
  <si>
    <t>COMP. 001</t>
  </si>
  <si>
    <t>Item</t>
  </si>
  <si>
    <t>Código</t>
  </si>
  <si>
    <t xml:space="preserve">Serviço </t>
  </si>
  <si>
    <t>Unidade</t>
  </si>
  <si>
    <t>Quantidade</t>
  </si>
  <si>
    <t xml:space="preserve">Material </t>
  </si>
  <si>
    <t>Mão de obra</t>
  </si>
  <si>
    <t>Valor total</t>
  </si>
  <si>
    <t>GOINFRA</t>
  </si>
  <si>
    <t>GOINFRA - I</t>
  </si>
  <si>
    <t xml:space="preserve"> EMASSAMENTO/OLEO/ESQUADRIAS MADEIRA </t>
  </si>
  <si>
    <t xml:space="preserve">PINTURA ESMALTE SINTETICO 2 DEMÃOS EM ESQ. MADEIRA </t>
  </si>
  <si>
    <t>RECUPERAÇÃO DE PORTAS 80x210</t>
  </si>
  <si>
    <t>RECUPERAÇÃO DE PORTAS 90x210</t>
  </si>
  <si>
    <t>RECUPERAÇÃO DE PORTAS 110x210</t>
  </si>
  <si>
    <t xml:space="preserve">LIXA PARA MADEIRA Nº 220 </t>
  </si>
  <si>
    <t xml:space="preserve">un </t>
  </si>
  <si>
    <t xml:space="preserve"> h </t>
  </si>
  <si>
    <t>GOINFRA - MO</t>
  </si>
  <si>
    <t>SERVENTE</t>
  </si>
  <si>
    <t xml:space="preserve"> h</t>
  </si>
  <si>
    <t>MARCENEIRO</t>
  </si>
  <si>
    <t>COMP. 02</t>
  </si>
  <si>
    <t>COMP. 03</t>
  </si>
  <si>
    <t>PISO PORCELANATO ACETINADO 1,20X1,20</t>
  </si>
  <si>
    <t xml:space="preserve">Kg   </t>
  </si>
  <si>
    <t xml:space="preserve">ARGAMASSA DE CIMENTO COLANTE - ACII </t>
  </si>
  <si>
    <t xml:space="preserve"> Kg  </t>
  </si>
  <si>
    <t xml:space="preserve"> ARGAMASSA DE REJUNTAMENTO</t>
  </si>
  <si>
    <t xml:space="preserve">COTAÇÃO </t>
  </si>
  <si>
    <t xml:space="preserve"> SERVENTE</t>
  </si>
  <si>
    <t>AZULEJISTA</t>
  </si>
  <si>
    <t>H</t>
  </si>
  <si>
    <t>4.1</t>
  </si>
  <si>
    <t>4.2</t>
  </si>
  <si>
    <t>4.3</t>
  </si>
  <si>
    <t>5.1</t>
  </si>
  <si>
    <t>5.2</t>
  </si>
  <si>
    <t xml:space="preserve">DOBRADICA 3" X 3 1/2" CROMADA </t>
  </si>
  <si>
    <t xml:space="preserve">Un   </t>
  </si>
  <si>
    <t>5.5</t>
  </si>
  <si>
    <t>2.2</t>
  </si>
  <si>
    <t>4.4</t>
  </si>
  <si>
    <t>1.5</t>
  </si>
  <si>
    <t>1.6</t>
  </si>
  <si>
    <t>2.3</t>
  </si>
  <si>
    <t>2.4</t>
  </si>
  <si>
    <t>2.5</t>
  </si>
  <si>
    <t>7.4</t>
  </si>
  <si>
    <t>3.4</t>
  </si>
  <si>
    <t>3.5</t>
  </si>
  <si>
    <t>Corte e recuperação de portas 80x210</t>
  </si>
  <si>
    <t>und</t>
  </si>
  <si>
    <t xml:space="preserve">Troca de piso em toda unidade </t>
  </si>
  <si>
    <t xml:space="preserve">Calçamento e estacionamento </t>
  </si>
  <si>
    <t>Corte e recuperação de portas 90x210</t>
  </si>
  <si>
    <t>Corte e recuperação de portas 110x210</t>
  </si>
  <si>
    <t>COMP. 04</t>
  </si>
  <si>
    <t>Corte e recuperação de portas 150x210</t>
  </si>
  <si>
    <t>RECUPERAÇÃO DE PORTAS 150x210 - VAI E VEM</t>
  </si>
  <si>
    <t>Horas</t>
  </si>
  <si>
    <t>Meses</t>
  </si>
  <si>
    <t>Dias</t>
  </si>
  <si>
    <t xml:space="preserve">Horas </t>
  </si>
  <si>
    <t>6.1</t>
  </si>
  <si>
    <t>6.2</t>
  </si>
  <si>
    <t>7.1</t>
  </si>
  <si>
    <t>7.2</t>
  </si>
  <si>
    <t>7.3</t>
  </si>
  <si>
    <t xml:space="preserve">Toda área externa da edificação </t>
  </si>
  <si>
    <t xml:space="preserve">Reparos na edificação </t>
  </si>
  <si>
    <t xml:space="preserve">Toda área interna da edificação </t>
  </si>
  <si>
    <t xml:space="preserve">Área construida </t>
  </si>
  <si>
    <t>8.1</t>
  </si>
  <si>
    <t>COMP. 05</t>
  </si>
  <si>
    <t>4.5</t>
  </si>
  <si>
    <t>4.6</t>
  </si>
  <si>
    <t>5.3</t>
  </si>
  <si>
    <t>5.4</t>
  </si>
  <si>
    <t>PINTURA ESMALTE 1 DEMÃO ESQUADRIA METALICA S/FUNDO
 ANTICORROSIVO</t>
  </si>
  <si>
    <t>7.5</t>
  </si>
  <si>
    <t xml:space="preserve">Grade proteção - pintura 2 faces </t>
  </si>
  <si>
    <t xml:space="preserve">Janelas - pintura 2 faces </t>
  </si>
  <si>
    <t xml:space="preserve">Portão de abrir </t>
  </si>
  <si>
    <t xml:space="preserve">Pintura - forro </t>
  </si>
  <si>
    <t xml:space="preserve"> un </t>
  </si>
  <si>
    <t>PINTURA DE SÍMBOLO (PCD, GESTANTE OU IDOSO) COM TINTA
 ACRILICA PARA PISO UTILIZANDO GABARITO DE POLIESTIRENO (
 120X120 CM)</t>
  </si>
  <si>
    <t>REFORMA DA UNIDADE DE PRONTO ATENDIMENTO DR. JAMIL SEBBA</t>
  </si>
  <si>
    <t>RODAPÉ CERÂMICO ESMALTADO PEIV 7CM À 10CM</t>
  </si>
  <si>
    <t>SIURB</t>
  </si>
  <si>
    <t>M</t>
  </si>
  <si>
    <t>Rodapé embutido</t>
  </si>
  <si>
    <t>COTAÇÃO DE MERCADO</t>
  </si>
  <si>
    <t xml:space="preserve">ORÇAMENTO </t>
  </si>
  <si>
    <t>MEMÓRIA DE CÁLCULO</t>
  </si>
  <si>
    <t xml:space="preserve">Responsável técnico </t>
  </si>
  <si>
    <t>7.6</t>
  </si>
  <si>
    <t>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</si>
</sst>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&quot;R$&quot;* #,##0.00_-;\-&quot;R$&quot;* #,##0.00_-;_-&quot;R$&quot;* &quot;-&quot;??_-;_-@_-"/>
    <numFmt numFmtId="166" formatCode="0.000%"/>
    <numFmt numFmtId="167" formatCode="_(* #,##0.00_);_(* \(#,##0.00\);_(* \-??_);_(@_)"/>
    <numFmt numFmtId="168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167" fontId="1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0" fillId="0" borderId="1" xfId="0" applyBorder="1"/>
    <xf numFmtId="0" fontId="0" fillId="0" borderId="4" xfId="0" applyBorder="1"/>
    <xf numFmtId="0" fontId="0" fillId="0" borderId="7" xfId="0" applyBorder="1"/>
    <xf numFmtId="10" fontId="0" fillId="0" borderId="12" xfId="2" applyNumberFormat="1" applyFont="1" applyBorder="1" applyAlignment="1">
      <alignment horizontal="center"/>
    </xf>
    <xf numFmtId="44" fontId="0" fillId="0" borderId="19" xfId="6" applyFont="1" applyFill="1" applyBorder="1"/>
    <xf numFmtId="44" fontId="2" fillId="0" borderId="8" xfId="6" applyFont="1" applyBorder="1"/>
    <xf numFmtId="44" fontId="0" fillId="0" borderId="8" xfId="6" applyFont="1" applyFill="1" applyBorder="1"/>
    <xf numFmtId="10" fontId="0" fillId="0" borderId="12" xfId="2" applyNumberFormat="1" applyFont="1" applyFill="1" applyBorder="1" applyAlignment="1">
      <alignment horizontal="center"/>
    </xf>
    <xf numFmtId="44" fontId="0" fillId="0" borderId="19" xfId="6" applyFont="1" applyBorder="1"/>
    <xf numFmtId="0" fontId="0" fillId="0" borderId="19" xfId="0" applyBorder="1"/>
    <xf numFmtId="0" fontId="0" fillId="0" borderId="26" xfId="0" applyBorder="1"/>
    <xf numFmtId="44" fontId="2" fillId="0" borderId="20" xfId="6" applyFont="1" applyBorder="1"/>
    <xf numFmtId="0" fontId="0" fillId="3" borderId="19" xfId="0" applyFill="1" applyBorder="1"/>
    <xf numFmtId="0" fontId="0" fillId="0" borderId="6" xfId="0" applyBorder="1"/>
    <xf numFmtId="9" fontId="0" fillId="0" borderId="12" xfId="2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4" fontId="0" fillId="0" borderId="0" xfId="0" applyNumberFormat="1"/>
    <xf numFmtId="10" fontId="0" fillId="0" borderId="27" xfId="2" applyNumberFormat="1" applyFon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44" fontId="0" fillId="0" borderId="23" xfId="1" applyFont="1" applyBorder="1" applyAlignment="1">
      <alignment horizontal="center"/>
    </xf>
    <xf numFmtId="44" fontId="0" fillId="0" borderId="25" xfId="0" applyNumberFormat="1" applyBorder="1"/>
    <xf numFmtId="0" fontId="0" fillId="0" borderId="0" xfId="0" applyAlignment="1">
      <alignment horizontal="center" wrapText="1"/>
    </xf>
    <xf numFmtId="0" fontId="0" fillId="0" borderId="24" xfId="0" applyBorder="1" applyAlignment="1">
      <alignment horizontal="center" vertical="center"/>
    </xf>
    <xf numFmtId="2" fontId="0" fillId="0" borderId="23" xfId="0" applyNumberFormat="1" applyBorder="1" applyAlignment="1">
      <alignment horizontal="center"/>
    </xf>
    <xf numFmtId="0" fontId="7" fillId="3" borderId="22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 wrapText="1"/>
    </xf>
    <xf numFmtId="2" fontId="7" fillId="3" borderId="23" xfId="3" applyNumberFormat="1" applyFon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7" fillId="3" borderId="23" xfId="3" applyFont="1" applyFill="1" applyBorder="1" applyAlignment="1">
      <alignment horizontal="justify" vertical="center" wrapText="1"/>
    </xf>
    <xf numFmtId="44" fontId="7" fillId="3" borderId="23" xfId="1" applyFont="1" applyFill="1" applyBorder="1" applyAlignment="1">
      <alignment horizontal="center" vertical="center"/>
    </xf>
    <xf numFmtId="44" fontId="7" fillId="3" borderId="23" xfId="1" applyFont="1" applyFill="1" applyBorder="1" applyAlignment="1" applyProtection="1">
      <alignment horizontal="center" vertical="center"/>
      <protection locked="0"/>
    </xf>
    <xf numFmtId="44" fontId="0" fillId="0" borderId="23" xfId="1" applyFont="1" applyBorder="1" applyAlignment="1">
      <alignment horizontal="center" vertical="center"/>
    </xf>
    <xf numFmtId="0" fontId="7" fillId="0" borderId="23" xfId="3" applyFont="1" applyBorder="1" applyAlignment="1">
      <alignment horizontal="left" vertical="center" wrapText="1"/>
    </xf>
    <xf numFmtId="44" fontId="7" fillId="0" borderId="23" xfId="1" applyFont="1" applyFill="1" applyBorder="1" applyAlignment="1" applyProtection="1">
      <alignment horizontal="center" vertical="center"/>
      <protection locked="0"/>
    </xf>
    <xf numFmtId="44" fontId="7" fillId="0" borderId="23" xfId="1" applyFont="1" applyFill="1" applyBorder="1" applyAlignment="1" applyProtection="1">
      <alignment horizontal="center" vertical="center" wrapText="1"/>
      <protection locked="0"/>
    </xf>
    <xf numFmtId="44" fontId="6" fillId="0" borderId="23" xfId="1" applyFont="1" applyBorder="1" applyAlignment="1">
      <alignment horizontal="center"/>
    </xf>
    <xf numFmtId="44" fontId="4" fillId="4" borderId="32" xfId="1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>
      <alignment horizontal="left" vertical="center" wrapText="1"/>
    </xf>
    <xf numFmtId="0" fontId="4" fillId="2" borderId="16" xfId="3" applyFont="1" applyFill="1" applyBorder="1" applyAlignment="1">
      <alignment horizontal="center" vertical="center"/>
    </xf>
    <xf numFmtId="2" fontId="4" fillId="2" borderId="16" xfId="3" applyNumberFormat="1" applyFont="1" applyFill="1" applyBorder="1" applyAlignment="1">
      <alignment horizontal="center" vertical="center"/>
    </xf>
    <xf numFmtId="44" fontId="4" fillId="2" borderId="16" xfId="1" applyFont="1" applyFill="1" applyBorder="1" applyAlignment="1">
      <alignment horizontal="center" vertical="center"/>
    </xf>
    <xf numFmtId="44" fontId="4" fillId="2" borderId="16" xfId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7" fillId="3" borderId="32" xfId="3" applyNumberFormat="1" applyFont="1" applyFill="1" applyBorder="1" applyAlignment="1">
      <alignment horizontal="center" vertical="center"/>
    </xf>
    <xf numFmtId="164" fontId="0" fillId="0" borderId="0" xfId="0" applyNumberFormat="1"/>
    <xf numFmtId="0" fontId="7" fillId="3" borderId="32" xfId="3" applyFont="1" applyFill="1" applyBorder="1" applyAlignment="1">
      <alignment horizontal="center" vertical="center"/>
    </xf>
    <xf numFmtId="0" fontId="7" fillId="3" borderId="32" xfId="3" applyFont="1" applyFill="1" applyBorder="1" applyAlignment="1">
      <alignment horizontal="justify" vertical="center" wrapText="1"/>
    </xf>
    <xf numFmtId="44" fontId="7" fillId="3" borderId="32" xfId="1" applyFont="1" applyFill="1" applyBorder="1" applyAlignment="1" applyProtection="1">
      <alignment horizontal="center" vertical="center"/>
      <protection locked="0"/>
    </xf>
    <xf numFmtId="0" fontId="7" fillId="0" borderId="23" xfId="3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10" fontId="0" fillId="0" borderId="0" xfId="0" applyNumberFormat="1"/>
    <xf numFmtId="0" fontId="7" fillId="3" borderId="32" xfId="3" applyFont="1" applyFill="1" applyBorder="1" applyAlignment="1">
      <alignment horizontal="center" vertical="center" wrapText="1"/>
    </xf>
    <xf numFmtId="44" fontId="4" fillId="4" borderId="25" xfId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2" fillId="0" borderId="7" xfId="0" applyFont="1" applyBorder="1" applyAlignment="1">
      <alignment horizontal="right"/>
    </xf>
    <xf numFmtId="10" fontId="0" fillId="0" borderId="9" xfId="2" applyNumberFormat="1" applyFont="1" applyBorder="1" applyAlignment="1">
      <alignment horizontal="center"/>
    </xf>
    <xf numFmtId="0" fontId="0" fillId="6" borderId="19" xfId="0" applyFill="1" applyBorder="1"/>
    <xf numFmtId="0" fontId="6" fillId="0" borderId="22" xfId="0" applyFont="1" applyFill="1" applyBorder="1" applyAlignment="1">
      <alignment horizontal="center"/>
    </xf>
    <xf numFmtId="0" fontId="0" fillId="0" borderId="0" xfId="0" applyFill="1"/>
    <xf numFmtId="0" fontId="7" fillId="0" borderId="32" xfId="3" applyFont="1" applyFill="1" applyBorder="1" applyAlignment="1">
      <alignment horizontal="center" vertical="center" wrapText="1"/>
    </xf>
    <xf numFmtId="2" fontId="7" fillId="0" borderId="32" xfId="3" applyNumberFormat="1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justify" vertical="center" wrapText="1"/>
    </xf>
    <xf numFmtId="10" fontId="0" fillId="0" borderId="0" xfId="2" applyNumberFormat="1" applyFont="1"/>
    <xf numFmtId="0" fontId="4" fillId="3" borderId="28" xfId="3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12" fillId="0" borderId="26" xfId="0" applyFont="1" applyFill="1" applyBorder="1" applyAlignment="1"/>
    <xf numFmtId="0" fontId="14" fillId="0" borderId="21" xfId="0" applyFont="1" applyFill="1" applyBorder="1" applyAlignment="1"/>
    <xf numFmtId="0" fontId="14" fillId="0" borderId="26" xfId="0" applyFont="1" applyFill="1" applyBorder="1" applyAlignment="1"/>
    <xf numFmtId="0" fontId="14" fillId="0" borderId="0" xfId="0" applyFont="1" applyFill="1" applyBorder="1" applyAlignment="1"/>
    <xf numFmtId="0" fontId="14" fillId="0" borderId="11" xfId="0" applyFont="1" applyFill="1" applyBorder="1" applyAlignment="1">
      <alignment horizontal="center"/>
    </xf>
    <xf numFmtId="0" fontId="15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center"/>
    </xf>
    <xf numFmtId="0" fontId="14" fillId="0" borderId="52" xfId="0" applyFont="1" applyFill="1" applyBorder="1" applyAlignment="1"/>
    <xf numFmtId="0" fontId="16" fillId="0" borderId="9" xfId="0" applyFont="1" applyFill="1" applyBorder="1" applyAlignment="1">
      <alignment horizontal="center" vertical="center" wrapText="1"/>
    </xf>
    <xf numFmtId="49" fontId="18" fillId="0" borderId="9" xfId="16" applyNumberFormat="1" applyFont="1" applyFill="1" applyBorder="1" applyAlignment="1">
      <alignment horizontal="center" vertical="center"/>
    </xf>
    <xf numFmtId="49" fontId="19" fillId="0" borderId="9" xfId="16" applyNumberFormat="1" applyFont="1" applyFill="1" applyBorder="1" applyAlignment="1">
      <alignment horizontal="center" vertical="center"/>
    </xf>
    <xf numFmtId="0" fontId="20" fillId="0" borderId="21" xfId="0" applyFont="1" applyFill="1" applyBorder="1"/>
    <xf numFmtId="0" fontId="21" fillId="0" borderId="0" xfId="0" applyFont="1" applyFill="1" applyBorder="1"/>
    <xf numFmtId="0" fontId="21" fillId="0" borderId="26" xfId="0" applyFont="1" applyFill="1" applyBorder="1"/>
    <xf numFmtId="0" fontId="15" fillId="0" borderId="2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center"/>
    </xf>
    <xf numFmtId="0" fontId="15" fillId="0" borderId="26" xfId="0" applyFont="1" applyFill="1" applyBorder="1"/>
    <xf numFmtId="164" fontId="14" fillId="0" borderId="0" xfId="0" applyNumberFormat="1" applyFont="1" applyFill="1" applyBorder="1" applyAlignment="1">
      <alignment horizontal="center"/>
    </xf>
    <xf numFmtId="164" fontId="14" fillId="0" borderId="52" xfId="0" applyNumberFormat="1" applyFont="1" applyFill="1" applyBorder="1" applyAlignment="1">
      <alignment horizontal="center"/>
    </xf>
    <xf numFmtId="0" fontId="15" fillId="0" borderId="52" xfId="0" applyFont="1" applyFill="1" applyBorder="1"/>
    <xf numFmtId="0" fontId="15" fillId="0" borderId="20" xfId="0" applyFont="1" applyFill="1" applyBorder="1"/>
    <xf numFmtId="2" fontId="7" fillId="0" borderId="23" xfId="3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/>
    <xf numFmtId="0" fontId="23" fillId="0" borderId="14" xfId="0" applyFont="1" applyBorder="1" applyAlignment="1">
      <alignment horizontal="center" vertical="center"/>
    </xf>
    <xf numFmtId="0" fontId="23" fillId="6" borderId="56" xfId="0" applyFont="1" applyFill="1" applyBorder="1" applyAlignment="1">
      <alignment horizontal="center" vertical="center"/>
    </xf>
    <xf numFmtId="0" fontId="23" fillId="6" borderId="14" xfId="0" applyFont="1" applyFill="1" applyBorder="1"/>
    <xf numFmtId="0" fontId="7" fillId="3" borderId="29" xfId="3" applyFont="1" applyFill="1" applyBorder="1" applyAlignment="1">
      <alignment horizontal="center"/>
    </xf>
    <xf numFmtId="0" fontId="7" fillId="3" borderId="29" xfId="3" applyFont="1" applyFill="1" applyBorder="1" applyAlignment="1">
      <alignment horizontal="left" vertical="center"/>
    </xf>
    <xf numFmtId="2" fontId="0" fillId="0" borderId="0" xfId="0" applyNumberFormat="1" applyAlignment="1">
      <alignment horizontal="center" wrapText="1"/>
    </xf>
    <xf numFmtId="0" fontId="23" fillId="6" borderId="55" xfId="0" applyFont="1" applyFill="1" applyBorder="1" applyAlignment="1">
      <alignment horizontal="left"/>
    </xf>
    <xf numFmtId="0" fontId="23" fillId="0" borderId="1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2" fontId="23" fillId="6" borderId="14" xfId="0" applyNumberFormat="1" applyFont="1" applyFill="1" applyBorder="1" applyAlignment="1">
      <alignment horizontal="center"/>
    </xf>
    <xf numFmtId="2" fontId="7" fillId="3" borderId="23" xfId="3" applyNumberFormat="1" applyFont="1" applyFill="1" applyBorder="1" applyAlignment="1">
      <alignment horizontal="center" vertical="center" wrapText="1"/>
    </xf>
    <xf numFmtId="2" fontId="7" fillId="0" borderId="23" xfId="3" applyNumberFormat="1" applyFont="1" applyBorder="1" applyAlignment="1">
      <alignment horizontal="center" vertical="center" wrapText="1"/>
    </xf>
    <xf numFmtId="2" fontId="4" fillId="0" borderId="23" xfId="3" applyNumberFormat="1" applyFont="1" applyBorder="1" applyAlignment="1">
      <alignment horizontal="center" vertical="center" wrapText="1"/>
    </xf>
    <xf numFmtId="2" fontId="4" fillId="3" borderId="23" xfId="3" applyNumberFormat="1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/>
    </xf>
    <xf numFmtId="164" fontId="5" fillId="4" borderId="32" xfId="0" applyNumberFormat="1" applyFont="1" applyFill="1" applyBorder="1" applyAlignment="1" applyProtection="1">
      <alignment horizontal="center"/>
      <protection locked="0"/>
    </xf>
    <xf numFmtId="164" fontId="5" fillId="4" borderId="37" xfId="0" applyNumberFormat="1" applyFont="1" applyFill="1" applyBorder="1" applyAlignment="1" applyProtection="1">
      <alignment horizontal="center"/>
      <protection locked="0"/>
    </xf>
    <xf numFmtId="2" fontId="7" fillId="3" borderId="29" xfId="3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/>
    </xf>
    <xf numFmtId="164" fontId="6" fillId="0" borderId="34" xfId="0" applyNumberFormat="1" applyFont="1" applyFill="1" applyBorder="1" applyAlignment="1">
      <alignment horizontal="center"/>
    </xf>
    <xf numFmtId="44" fontId="5" fillId="5" borderId="27" xfId="1" applyFont="1" applyFill="1" applyBorder="1" applyAlignment="1" applyProtection="1">
      <alignment horizontal="center"/>
      <protection locked="0"/>
    </xf>
    <xf numFmtId="164" fontId="5" fillId="5" borderId="31" xfId="1" applyNumberFormat="1" applyFont="1" applyFill="1" applyBorder="1" applyAlignment="1" applyProtection="1">
      <alignment horizontal="center"/>
      <protection locked="0"/>
    </xf>
    <xf numFmtId="44" fontId="5" fillId="5" borderId="23" xfId="1" applyFont="1" applyFill="1" applyBorder="1" applyAlignment="1" applyProtection="1">
      <alignment horizontal="center"/>
      <protection locked="0"/>
    </xf>
    <xf numFmtId="164" fontId="6" fillId="5" borderId="24" xfId="0" applyNumberFormat="1" applyFont="1" applyFill="1" applyBorder="1" applyAlignment="1" applyProtection="1">
      <alignment horizontal="center"/>
      <protection locked="0"/>
    </xf>
    <xf numFmtId="44" fontId="5" fillId="5" borderId="25" xfId="1" applyFont="1" applyFill="1" applyBorder="1" applyAlignment="1" applyProtection="1">
      <alignment horizontal="center"/>
      <protection locked="0"/>
    </xf>
    <xf numFmtId="164" fontId="5" fillId="5" borderId="37" xfId="0" applyNumberFormat="1" applyFont="1" applyFill="1" applyBorder="1" applyAlignment="1" applyProtection="1">
      <alignment horizontal="center"/>
      <protection locked="0"/>
    </xf>
    <xf numFmtId="44" fontId="0" fillId="0" borderId="0" xfId="1" applyFont="1" applyAlignment="1">
      <alignment horizontal="center"/>
    </xf>
    <xf numFmtId="166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4" fontId="4" fillId="6" borderId="13" xfId="3" applyNumberFormat="1" applyFont="1" applyFill="1" applyBorder="1" applyAlignment="1">
      <alignment vertical="center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 wrapText="1"/>
    </xf>
    <xf numFmtId="0" fontId="5" fillId="0" borderId="61" xfId="0" applyFont="1" applyBorder="1" applyAlignment="1">
      <alignment vertical="center"/>
    </xf>
    <xf numFmtId="0" fontId="6" fillId="0" borderId="33" xfId="0" applyFont="1" applyBorder="1" applyAlignment="1">
      <alignment horizontal="center"/>
    </xf>
    <xf numFmtId="164" fontId="5" fillId="0" borderId="60" xfId="0" applyNumberFormat="1" applyFont="1" applyBorder="1" applyAlignment="1">
      <alignment horizontal="center" vertical="center"/>
    </xf>
    <xf numFmtId="164" fontId="5" fillId="0" borderId="63" xfId="0" applyNumberFormat="1" applyFont="1" applyBorder="1" applyAlignment="1">
      <alignment horizontal="center" vertical="center"/>
    </xf>
    <xf numFmtId="2" fontId="5" fillId="0" borderId="62" xfId="0" applyNumberFormat="1" applyFont="1" applyBorder="1" applyAlignment="1">
      <alignment horizontal="center" vertical="center"/>
    </xf>
    <xf numFmtId="2" fontId="0" fillId="0" borderId="0" xfId="0" applyNumberFormat="1"/>
    <xf numFmtId="164" fontId="2" fillId="0" borderId="0" xfId="0" applyNumberFormat="1" applyFont="1"/>
    <xf numFmtId="0" fontId="0" fillId="0" borderId="0" xfId="0" applyFill="1" applyBorder="1"/>
    <xf numFmtId="2" fontId="7" fillId="3" borderId="64" xfId="3" applyNumberFormat="1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 wrapText="1"/>
    </xf>
    <xf numFmtId="4" fontId="0" fillId="0" borderId="0" xfId="0" applyNumberFormat="1"/>
    <xf numFmtId="0" fontId="14" fillId="0" borderId="2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3" fillId="0" borderId="13" xfId="0" applyFont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2" fillId="0" borderId="0" xfId="0" applyFont="1" applyBorder="1" applyAlignment="1">
      <alignment horizontal="right"/>
    </xf>
    <xf numFmtId="0" fontId="0" fillId="0" borderId="7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1" xfId="0" applyFont="1" applyFill="1" applyBorder="1" applyAlignment="1"/>
    <xf numFmtId="0" fontId="12" fillId="0" borderId="72" xfId="0" applyFont="1" applyFill="1" applyBorder="1" applyAlignment="1"/>
    <xf numFmtId="0" fontId="12" fillId="0" borderId="4" xfId="0" applyFont="1" applyFill="1" applyBorder="1" applyAlignment="1"/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4" xfId="0" applyFont="1" applyFill="1" applyBorder="1" applyAlignment="1">
      <alignment horizontal="center"/>
    </xf>
    <xf numFmtId="0" fontId="13" fillId="0" borderId="7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0" fontId="14" fillId="0" borderId="7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left" wrapText="1"/>
    </xf>
    <xf numFmtId="0" fontId="15" fillId="0" borderId="7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  <xf numFmtId="0" fontId="15" fillId="0" borderId="53" xfId="0" applyFont="1" applyFill="1" applyBorder="1"/>
    <xf numFmtId="0" fontId="0" fillId="0" borderId="0" xfId="0" applyFont="1" applyAlignment="1">
      <alignment horizontal="center"/>
    </xf>
    <xf numFmtId="0" fontId="15" fillId="0" borderId="2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15" fillId="0" borderId="26" xfId="0" applyFont="1" applyFill="1" applyBorder="1" applyAlignment="1">
      <alignment horizontal="justify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4" fillId="3" borderId="29" xfId="3" applyFont="1" applyFill="1" applyBorder="1" applyAlignment="1">
      <alignment horizontal="center"/>
    </xf>
    <xf numFmtId="0" fontId="4" fillId="3" borderId="29" xfId="3" applyFont="1" applyFill="1" applyBorder="1" applyAlignment="1">
      <alignment horizontal="left" vertical="center"/>
    </xf>
    <xf numFmtId="0" fontId="4" fillId="3" borderId="41" xfId="3" applyFont="1" applyFill="1" applyBorder="1" applyAlignment="1">
      <alignment horizontal="left" vertical="center"/>
    </xf>
    <xf numFmtId="0" fontId="4" fillId="4" borderId="33" xfId="3" applyFont="1" applyFill="1" applyBorder="1" applyAlignment="1">
      <alignment horizontal="right" vertical="center"/>
    </xf>
    <xf numFmtId="0" fontId="4" fillId="4" borderId="32" xfId="3" applyFont="1" applyFill="1" applyBorder="1" applyAlignment="1">
      <alignment horizontal="right" vertical="center"/>
    </xf>
    <xf numFmtId="44" fontId="7" fillId="3" borderId="45" xfId="1" applyFont="1" applyFill="1" applyBorder="1" applyAlignment="1" applyProtection="1">
      <alignment horizontal="center" vertical="center"/>
      <protection locked="0"/>
    </xf>
    <xf numFmtId="44" fontId="7" fillId="3" borderId="46" xfId="1" applyFont="1" applyFill="1" applyBorder="1" applyAlignment="1" applyProtection="1">
      <alignment horizontal="center" vertical="center"/>
      <protection locked="0"/>
    </xf>
    <xf numFmtId="0" fontId="4" fillId="3" borderId="69" xfId="3" applyFont="1" applyFill="1" applyBorder="1" applyAlignment="1">
      <alignment horizontal="left" vertical="center"/>
    </xf>
    <xf numFmtId="0" fontId="4" fillId="3" borderId="67" xfId="3" applyFont="1" applyFill="1" applyBorder="1" applyAlignment="1">
      <alignment horizontal="left" vertical="center"/>
    </xf>
    <xf numFmtId="0" fontId="4" fillId="3" borderId="70" xfId="3" applyFont="1" applyFill="1" applyBorder="1" applyAlignment="1">
      <alignment horizontal="left" vertical="center"/>
    </xf>
    <xf numFmtId="0" fontId="0" fillId="0" borderId="51" xfId="0" applyBorder="1" applyAlignment="1">
      <alignment horizontal="center" vertical="center" wrapText="1"/>
    </xf>
    <xf numFmtId="2" fontId="4" fillId="4" borderId="33" xfId="3" applyNumberFormat="1" applyFont="1" applyFill="1" applyBorder="1" applyAlignment="1">
      <alignment horizontal="right" vertical="center"/>
    </xf>
    <xf numFmtId="0" fontId="4" fillId="4" borderId="48" xfId="3" applyFont="1" applyFill="1" applyBorder="1" applyAlignment="1">
      <alignment horizontal="right" vertical="center"/>
    </xf>
    <xf numFmtId="0" fontId="4" fillId="4" borderId="49" xfId="3" applyFont="1" applyFill="1" applyBorder="1" applyAlignment="1">
      <alignment horizontal="right" vertical="center"/>
    </xf>
    <xf numFmtId="0" fontId="4" fillId="4" borderId="50" xfId="3" applyFont="1" applyFill="1" applyBorder="1" applyAlignment="1">
      <alignment horizontal="right" vertical="center"/>
    </xf>
    <xf numFmtId="0" fontId="4" fillId="6" borderId="13" xfId="3" applyFont="1" applyFill="1" applyBorder="1" applyAlignment="1">
      <alignment horizontal="left"/>
    </xf>
    <xf numFmtId="0" fontId="4" fillId="6" borderId="14" xfId="3" applyFont="1" applyFill="1" applyBorder="1" applyAlignment="1">
      <alignment horizontal="left"/>
    </xf>
    <xf numFmtId="0" fontId="4" fillId="6" borderId="15" xfId="3" applyFont="1" applyFill="1" applyBorder="1" applyAlignment="1">
      <alignment horizontal="left"/>
    </xf>
    <xf numFmtId="0" fontId="4" fillId="6" borderId="42" xfId="3" applyFont="1" applyFill="1" applyBorder="1" applyAlignment="1">
      <alignment horizontal="left"/>
    </xf>
    <xf numFmtId="0" fontId="4" fillId="6" borderId="43" xfId="3" applyFont="1" applyFill="1" applyBorder="1" applyAlignment="1">
      <alignment horizontal="left"/>
    </xf>
    <xf numFmtId="0" fontId="4" fillId="6" borderId="44" xfId="3" applyFont="1" applyFill="1" applyBorder="1" applyAlignment="1">
      <alignment horizontal="left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 wrapText="1"/>
    </xf>
    <xf numFmtId="0" fontId="4" fillId="2" borderId="44" xfId="3" applyFont="1" applyFill="1" applyBorder="1" applyAlignment="1">
      <alignment horizontal="center" vertical="center" wrapText="1"/>
    </xf>
    <xf numFmtId="0" fontId="4" fillId="6" borderId="42" xfId="3" applyFont="1" applyFill="1" applyBorder="1" applyAlignment="1">
      <alignment horizontal="left" vertical="center" wrapText="1"/>
    </xf>
    <xf numFmtId="0" fontId="4" fillId="6" borderId="43" xfId="3" applyFont="1" applyFill="1" applyBorder="1" applyAlignment="1">
      <alignment horizontal="left" vertical="center" wrapText="1"/>
    </xf>
    <xf numFmtId="0" fontId="4" fillId="6" borderId="44" xfId="3" applyFont="1" applyFill="1" applyBorder="1" applyAlignment="1">
      <alignment horizontal="left" vertical="center" wrapText="1"/>
    </xf>
    <xf numFmtId="0" fontId="4" fillId="3" borderId="29" xfId="3" applyFont="1" applyFill="1" applyBorder="1" applyAlignment="1">
      <alignment horizontal="center" wrapText="1"/>
    </xf>
    <xf numFmtId="0" fontId="4" fillId="6" borderId="42" xfId="3" applyFont="1" applyFill="1" applyBorder="1" applyAlignment="1">
      <alignment horizontal="left" vertical="center"/>
    </xf>
    <xf numFmtId="0" fontId="4" fillId="6" borderId="43" xfId="3" applyFont="1" applyFill="1" applyBorder="1" applyAlignment="1">
      <alignment horizontal="left" vertical="center"/>
    </xf>
    <xf numFmtId="0" fontId="4" fillId="6" borderId="44" xfId="3" applyFont="1" applyFill="1" applyBorder="1" applyAlignment="1">
      <alignment horizontal="left" vertical="center"/>
    </xf>
    <xf numFmtId="0" fontId="4" fillId="3" borderId="29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5" fillId="5" borderId="57" xfId="0" applyFont="1" applyFill="1" applyBorder="1" applyAlignment="1">
      <alignment horizontal="right"/>
    </xf>
    <xf numFmtId="0" fontId="5" fillId="5" borderId="58" xfId="0" applyFont="1" applyFill="1" applyBorder="1" applyAlignment="1">
      <alignment horizontal="right"/>
    </xf>
    <xf numFmtId="0" fontId="5" fillId="5" borderId="46" xfId="0" applyFont="1" applyFill="1" applyBorder="1" applyAlignment="1">
      <alignment horizontal="right"/>
    </xf>
    <xf numFmtId="0" fontId="5" fillId="5" borderId="48" xfId="0" applyFont="1" applyFill="1" applyBorder="1" applyAlignment="1">
      <alignment horizontal="right"/>
    </xf>
    <xf numFmtId="0" fontId="5" fillId="5" borderId="49" xfId="0" applyFont="1" applyFill="1" applyBorder="1" applyAlignment="1">
      <alignment horizontal="right"/>
    </xf>
    <xf numFmtId="0" fontId="5" fillId="5" borderId="50" xfId="0" applyFont="1" applyFill="1" applyBorder="1" applyAlignment="1">
      <alignment horizontal="right"/>
    </xf>
    <xf numFmtId="0" fontId="5" fillId="5" borderId="66" xfId="0" applyFont="1" applyFill="1" applyBorder="1" applyAlignment="1">
      <alignment horizontal="right"/>
    </xf>
    <xf numFmtId="0" fontId="5" fillId="5" borderId="67" xfId="0" applyFont="1" applyFill="1" applyBorder="1" applyAlignment="1">
      <alignment horizontal="right"/>
    </xf>
    <xf numFmtId="0" fontId="5" fillId="5" borderId="68" xfId="0" applyFont="1" applyFill="1" applyBorder="1" applyAlignment="1">
      <alignment horizontal="right"/>
    </xf>
    <xf numFmtId="0" fontId="6" fillId="0" borderId="4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3" borderId="45" xfId="3" applyFont="1" applyFill="1" applyBorder="1" applyAlignment="1">
      <alignment horizontal="center" vertical="center" wrapText="1"/>
    </xf>
    <xf numFmtId="0" fontId="7" fillId="3" borderId="46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4" fontId="4" fillId="6" borderId="14" xfId="3" applyNumberFormat="1" applyFont="1" applyFill="1" applyBorder="1" applyAlignment="1">
      <alignment horizontal="left" vertical="center" wrapText="1"/>
    </xf>
    <xf numFmtId="14" fontId="4" fillId="6" borderId="15" xfId="3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14" fontId="4" fillId="0" borderId="4" xfId="3" applyNumberFormat="1" applyFont="1" applyBorder="1" applyAlignment="1">
      <alignment horizontal="right" vertical="center"/>
    </xf>
    <xf numFmtId="14" fontId="4" fillId="0" borderId="0" xfId="3" applyNumberFormat="1" applyFont="1" applyAlignment="1">
      <alignment horizontal="right" vertical="center"/>
    </xf>
    <xf numFmtId="14" fontId="4" fillId="0" borderId="5" xfId="3" applyNumberFormat="1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4" fillId="0" borderId="0" xfId="3" applyFont="1" applyBorder="1" applyAlignment="1">
      <alignment horizontal="center" vertical="center"/>
    </xf>
    <xf numFmtId="0" fontId="5" fillId="0" borderId="57" xfId="0" applyFont="1" applyBorder="1" applyAlignment="1">
      <alignment horizontal="right" vertical="center" indent="1"/>
    </xf>
    <xf numFmtId="0" fontId="5" fillId="0" borderId="58" xfId="0" applyFont="1" applyBorder="1" applyAlignment="1">
      <alignment horizontal="right" vertical="center" indent="1"/>
    </xf>
    <xf numFmtId="0" fontId="5" fillId="0" borderId="46" xfId="0" applyFont="1" applyBorder="1" applyAlignment="1">
      <alignment horizontal="right" vertical="center" indent="1"/>
    </xf>
    <xf numFmtId="0" fontId="5" fillId="0" borderId="57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6" borderId="30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9" fillId="6" borderId="38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</cellXfs>
  <cellStyles count="25">
    <cellStyle name="Moeda" xfId="1" builtinId="4"/>
    <cellStyle name="Moeda 2" xfId="4"/>
    <cellStyle name="Moeda 2 2" xfId="10"/>
    <cellStyle name="Moeda 3" xfId="11"/>
    <cellStyle name="Moeda 3 2" xfId="23"/>
    <cellStyle name="Moeda 3 3" xfId="19"/>
    <cellStyle name="Moeda 4" xfId="13"/>
    <cellStyle name="Moeda 4 2" xfId="21"/>
    <cellStyle name="Moeda 5" xfId="6"/>
    <cellStyle name="Moeda 6" xfId="17"/>
    <cellStyle name="Normal" xfId="0" builtinId="0"/>
    <cellStyle name="Normal 2" xfId="14"/>
    <cellStyle name="Normal 3" xfId="3"/>
    <cellStyle name="Normal 4" xfId="7"/>
    <cellStyle name="Normal 5" xfId="12"/>
    <cellStyle name="Porcentagem" xfId="2" builtinId="5"/>
    <cellStyle name="Porcentagem 2" xfId="15"/>
    <cellStyle name="Vírgula" xfId="16" builtinId="3"/>
    <cellStyle name="Vírgula 2" xfId="5"/>
    <cellStyle name="Vírgula 2 2" xfId="24"/>
    <cellStyle name="Vírgula 2 3" xfId="20"/>
    <cellStyle name="Vírgula 3" xfId="9"/>
    <cellStyle name="Vírgula 3 2" xfId="22"/>
    <cellStyle name="Vírgula 4" xfId="18"/>
    <cellStyle name="Vírgula 5" xfId="8"/>
  </cellStyles>
  <dxfs count="0"/>
  <tableStyles count="0" defaultTableStyle="TableStyleMedium2" defaultPivotStyle="PivotStyleLight16"/>
  <colors>
    <mruColors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240982</xdr:colOff>
      <xdr:row>2</xdr:row>
      <xdr:rowOff>152401</xdr:rowOff>
    </xdr:from>
    <xdr:to>
      <xdr:col>2</xdr:col>
      <xdr:colOff>887096</xdr:colOff>
      <xdr:row>7</xdr:row>
      <xdr:rowOff>161926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" y="533401"/>
          <a:ext cx="1884364" cy="99060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384175</xdr:colOff>
      <xdr:row>32</xdr:row>
      <xdr:rowOff>185736</xdr:rowOff>
    </xdr:from>
    <xdr:ext cx="65" cy="176587"/>
    <xdr:sp macro="" textlink="">
      <xdr:nvSpPr>
        <xdr:cNvPr id="3" name="CaixaDeTexto 2"/>
        <xdr:cNvSpPr txBox="1"/>
      </xdr:nvSpPr>
      <xdr:spPr>
        <a:xfrm>
          <a:off x="993775" y="8329611"/>
          <a:ext cx="65" cy="17658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lIns="0" tIns="0" rIns="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98424</xdr:colOff>
      <xdr:row>32</xdr:row>
      <xdr:rowOff>177799</xdr:rowOff>
    </xdr:from>
    <xdr:ext cx="3370474" cy="384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/>
            <xdr:cNvSpPr txBox="1"/>
          </xdr:nvSpPr>
          <xdr:spPr>
            <a:xfrm>
              <a:off x="708024" y="8321674"/>
              <a:ext cx="3370474" cy="38446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pt-BR" sz="1200" b="1" i="0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𝐁𝐃𝐈</m:t>
                    </m:r>
                    <m:r>
                      <a:rPr kumimoji="0" lang="pt-BR" sz="1200" b="1" i="0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𝑨𝑪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𝑺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𝑹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𝑮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)(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𝑫𝑭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)(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𝑳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𝑰</m:t>
                        </m:r>
                        <m:r>
                          <a:rPr kumimoji="0" lang="pt-BR" sz="12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  <m:r>
                      <a:rPr kumimoji="0" lang="pt-BR" sz="1200" b="1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kumimoji="0" lang="pt-BR" sz="1200" b="1" i="1" u="none" strike="noStrike" kern="0" cap="none" spc="0" normalizeH="0" baseline="0" noProof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</m:oMath>
                </m:oMathPara>
              </a14:m>
              <a:endParaRPr kumimoji="0" lang="pt-B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708024" y="8321674"/>
              <a:ext cx="3370474" cy="38446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12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𝐁𝐃𝐈=  ((𝟏+𝑨𝑪+𝑺+𝑹+𝑮)(𝟏+𝑫𝑭)(𝟏+𝑳))/((𝟏+𝑰))−𝟏</a:t>
              </a:r>
              <a:endParaRPr kumimoji="0" lang="pt-BR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290029</xdr:colOff>
      <xdr:row>0</xdr:row>
      <xdr:rowOff>52552</xdr:rowOff>
    </xdr:from>
    <xdr:to>
      <xdr:col>3</xdr:col>
      <xdr:colOff>1576552</xdr:colOff>
      <xdr:row>5</xdr:row>
      <xdr:rowOff>72259</xdr:rowOff>
    </xdr:to>
    <xdr:pic>
      <xdr:nvPicPr>
        <xdr:cNvPr id="2" name="Imagem 1" descr="Z:\Logo Prefeitura Horizontal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029" y="52552"/>
          <a:ext cx="3191523" cy="972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156483</xdr:rowOff>
    </xdr:from>
    <xdr:to>
      <xdr:col>3</xdr:col>
      <xdr:colOff>254473</xdr:colOff>
      <xdr:row>5</xdr:row>
      <xdr:rowOff>76201</xdr:rowOff>
    </xdr:to>
    <xdr:pic>
      <xdr:nvPicPr>
        <xdr:cNvPr id="2" name="Imagem 1" descr="Z:\Logo Prefeitura Horizontal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6483"/>
          <a:ext cx="2264248" cy="872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95251</xdr:rowOff>
    </xdr:from>
    <xdr:to>
      <xdr:col>1</xdr:col>
      <xdr:colOff>1560634</xdr:colOff>
      <xdr:row>5</xdr:row>
      <xdr:rowOff>95251</xdr:rowOff>
    </xdr:to>
    <xdr:pic>
      <xdr:nvPicPr>
        <xdr:cNvPr id="2" name="Imagem 1" descr="Z:\Logo Prefeitura Horizontal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95251"/>
          <a:ext cx="1721093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441739</xdr:colOff>
      <xdr:row>0</xdr:row>
      <xdr:rowOff>82826</xdr:rowOff>
    </xdr:from>
    <xdr:to>
      <xdr:col>1</xdr:col>
      <xdr:colOff>2374347</xdr:colOff>
      <xdr:row>6</xdr:row>
      <xdr:rowOff>69022</xdr:rowOff>
    </xdr:to>
    <xdr:pic>
      <xdr:nvPicPr>
        <xdr:cNvPr id="2" name="Imagem 1" descr="Z:\Logo Prefeitura Horizontal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39" y="82826"/>
          <a:ext cx="2539999" cy="114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53\PROCESSOS%20-%20EM%20AN&#193;LISE\PIRES%20BELO\PRA&#199;A\CD\OR&#199;AMENTO%20PRA&#199;A%20PIRES%20BE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SSOS%20-%20EM%20AN&#193;LISE/MORRINHO%20DE%20S&#195;O%20JO&#195;O/OR&#199;AMENTO%20-%20Morrinho%20de%20S&#227;o%20Jo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ÓRIA DE CÁLCULO"/>
      <sheetName val="BDI"/>
      <sheetName val="CRONOGRAMA"/>
      <sheetName val="COMPOSIÇÃO"/>
    </sheetNames>
    <sheetDataSet>
      <sheetData sheetId="0" refreshError="1">
        <row r="1">
          <cell r="C1" t="str">
            <v>PREFEITURA MUNICIPAL DE CATALÃO</v>
          </cell>
        </row>
        <row r="4">
          <cell r="C4" t="str">
            <v>OBJETO</v>
          </cell>
        </row>
        <row r="7">
          <cell r="C7" t="str">
            <v>TABELAS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(24,65%)"/>
      <sheetName val="ORÇAMENTO"/>
      <sheetName val="MEMORIA"/>
      <sheetName val="Composição "/>
      <sheetName val="Cronograma "/>
    </sheetNames>
    <sheetDataSet>
      <sheetData sheetId="0"/>
      <sheetData sheetId="1">
        <row r="4">
          <cell r="A4" t="str">
            <v>TABELA DE CUSTOS DE OBRAS CIVIS - T243 - Fevereiro/2024 - COM DESONERAÇÃO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8"/>
  <sheetViews>
    <sheetView zoomScaleNormal="100" workbookViewId="0">
      <selection activeCell="G14" sqref="G14"/>
    </sheetView>
  </sheetViews>
  <sheetFormatPr defaultRowHeight="15" x14ac:dyDescent="0.25"/>
  <cols>
    <col min="1" max="1" width="9.140625" style="79"/>
    <col min="2" max="2" width="18.5703125" style="79" customWidth="1"/>
    <col min="3" max="3" width="18.85546875" style="79" customWidth="1"/>
    <col min="4" max="4" width="22.85546875" style="79" customWidth="1"/>
    <col min="5" max="5" width="15.140625" style="79" customWidth="1"/>
    <col min="6" max="6" width="14.5703125" style="79" customWidth="1"/>
    <col min="7" max="7" width="15.140625" style="79" customWidth="1"/>
    <col min="8" max="8" width="17.7109375" style="79" customWidth="1"/>
    <col min="9" max="9" width="13.85546875" style="79" customWidth="1"/>
    <col min="10" max="10" width="14.28515625" style="79" customWidth="1"/>
    <col min="11" max="11" width="14.7109375" style="79" customWidth="1"/>
    <col min="12" max="14" width="9.140625" style="79"/>
    <col min="15" max="15" width="10.7109375" style="79" bestFit="1" customWidth="1"/>
    <col min="16" max="16384" width="9.140625" style="79"/>
  </cols>
  <sheetData>
    <row r="2" spans="2:16" ht="15.75" thickBot="1" x14ac:dyDescent="0.3"/>
    <row r="3" spans="2:16" x14ac:dyDescent="0.25">
      <c r="B3" s="171"/>
      <c r="C3" s="172"/>
      <c r="D3" s="178" t="s">
        <v>39</v>
      </c>
      <c r="E3" s="179"/>
      <c r="F3" s="179"/>
      <c r="G3" s="179"/>
      <c r="H3" s="179"/>
      <c r="I3" s="179"/>
      <c r="J3" s="179"/>
      <c r="K3" s="180"/>
    </row>
    <row r="4" spans="2:16" x14ac:dyDescent="0.25">
      <c r="B4" s="173"/>
      <c r="C4" s="82"/>
      <c r="D4" s="181"/>
      <c r="E4" s="182"/>
      <c r="F4" s="182"/>
      <c r="G4" s="182"/>
      <c r="H4" s="182"/>
      <c r="I4" s="182"/>
      <c r="J4" s="182"/>
      <c r="K4" s="183"/>
    </row>
    <row r="5" spans="2:16" ht="15.75" x14ac:dyDescent="0.25">
      <c r="B5" s="174"/>
      <c r="C5" s="84"/>
      <c r="D5" s="83" t="str">
        <f>[1]ORÇAMENTO!C4</f>
        <v>OBJETO</v>
      </c>
      <c r="E5" s="190" t="str">
        <f>ORÇAMENTO!A3</f>
        <v>REFORMA DA UNIDADE DE PRONTO ATENDIMENTO DR. JAMIL SEBBA</v>
      </c>
      <c r="F5" s="190"/>
      <c r="G5" s="190"/>
      <c r="H5" s="190"/>
      <c r="I5" s="190"/>
      <c r="J5" s="190"/>
      <c r="K5" s="191"/>
    </row>
    <row r="6" spans="2:16" ht="15.75" x14ac:dyDescent="0.25">
      <c r="B6" s="175"/>
      <c r="C6" s="158"/>
      <c r="D6" s="83" t="str">
        <f>[1]ORÇAMENTO!C7</f>
        <v>TABELAS</v>
      </c>
      <c r="E6" s="190" t="str">
        <f>ORÇAMENTO!A4</f>
        <v>TABELA DE CUSTOS DE OBRAS CIVIS - T243 - Fevereiro/2024 - COM DESONERAÇÃO</v>
      </c>
      <c r="F6" s="190"/>
      <c r="G6" s="190"/>
      <c r="H6" s="190"/>
      <c r="I6" s="190"/>
      <c r="J6" s="190"/>
      <c r="K6" s="191"/>
    </row>
    <row r="7" spans="2:16" ht="15.75" x14ac:dyDescent="0.25">
      <c r="B7" s="175"/>
      <c r="C7" s="158"/>
      <c r="D7" s="184"/>
      <c r="E7" s="186" t="str">
        <f>ORÇAMENTO!A5</f>
        <v>COTAÇÃO DE MERCADO</v>
      </c>
      <c r="F7" s="186"/>
      <c r="G7" s="186"/>
      <c r="H7" s="186"/>
      <c r="I7" s="186"/>
      <c r="J7" s="186"/>
      <c r="K7" s="187"/>
    </row>
    <row r="8" spans="2:16" ht="16.5" thickBot="1" x14ac:dyDescent="0.3">
      <c r="B8" s="176"/>
      <c r="C8" s="177"/>
      <c r="D8" s="185"/>
      <c r="E8" s="188"/>
      <c r="F8" s="188"/>
      <c r="G8" s="188"/>
      <c r="H8" s="188"/>
      <c r="I8" s="188"/>
      <c r="J8" s="188"/>
      <c r="K8" s="189"/>
    </row>
    <row r="9" spans="2:16" ht="15.75" x14ac:dyDescent="0.25">
      <c r="B9" s="88"/>
      <c r="C9" s="88"/>
      <c r="D9" s="89"/>
      <c r="E9" s="87"/>
      <c r="F9" s="88"/>
      <c r="G9" s="88"/>
      <c r="H9" s="88"/>
      <c r="I9" s="88"/>
      <c r="J9" s="88"/>
      <c r="K9" s="88"/>
    </row>
    <row r="10" spans="2:16" ht="15.75" x14ac:dyDescent="0.25">
      <c r="B10" s="195" t="s">
        <v>40</v>
      </c>
      <c r="C10" s="196"/>
      <c r="D10" s="196"/>
      <c r="E10" s="196"/>
      <c r="F10" s="196"/>
      <c r="G10" s="196"/>
      <c r="H10" s="196"/>
      <c r="I10" s="196"/>
      <c r="J10" s="196"/>
      <c r="K10" s="197"/>
    </row>
    <row r="11" spans="2:16" ht="15.75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2:16" ht="39.75" x14ac:dyDescent="0.25">
      <c r="B12" s="90" t="s">
        <v>60</v>
      </c>
      <c r="C12" s="90" t="s">
        <v>61</v>
      </c>
      <c r="D12" s="90" t="s">
        <v>62</v>
      </c>
      <c r="E12" s="90" t="s">
        <v>63</v>
      </c>
      <c r="F12" s="90" t="s">
        <v>64</v>
      </c>
      <c r="G12" s="90" t="s">
        <v>65</v>
      </c>
      <c r="H12" s="90" t="s">
        <v>66</v>
      </c>
      <c r="I12" s="90" t="s">
        <v>67</v>
      </c>
      <c r="J12" s="90" t="s">
        <v>68</v>
      </c>
      <c r="K12" s="90" t="s">
        <v>69</v>
      </c>
      <c r="N12" s="199"/>
      <c r="O12" s="199"/>
      <c r="P12" s="199"/>
    </row>
    <row r="13" spans="2:16" ht="21" x14ac:dyDescent="0.25">
      <c r="B13" s="91" t="s">
        <v>41</v>
      </c>
      <c r="C13" s="91" t="s">
        <v>42</v>
      </c>
      <c r="D13" s="91" t="s">
        <v>43</v>
      </c>
      <c r="E13" s="91" t="s">
        <v>44</v>
      </c>
      <c r="F13" s="91" t="s">
        <v>45</v>
      </c>
      <c r="G13" s="91" t="s">
        <v>46</v>
      </c>
      <c r="H13" s="91" t="s">
        <v>47</v>
      </c>
      <c r="I13" s="91" t="s">
        <v>41</v>
      </c>
      <c r="J13" s="91" t="s">
        <v>48</v>
      </c>
      <c r="K13" s="92" t="s">
        <v>49</v>
      </c>
    </row>
    <row r="14" spans="2:16" x14ac:dyDescent="0.25">
      <c r="B14" s="93"/>
      <c r="C14" s="94"/>
      <c r="D14" s="94"/>
      <c r="E14" s="94"/>
      <c r="F14" s="94"/>
      <c r="G14" s="94"/>
      <c r="H14" s="94"/>
      <c r="I14" s="94"/>
      <c r="J14" s="94"/>
      <c r="K14" s="95"/>
    </row>
    <row r="15" spans="2:16" s="80" customFormat="1" ht="18" x14ac:dyDescent="0.25">
      <c r="B15" s="192" t="s">
        <v>70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6" s="80" customFormat="1" ht="18" x14ac:dyDescent="0.25">
      <c r="B16" s="192" t="s">
        <v>71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5" s="80" customFormat="1" ht="37.5" customHeight="1" x14ac:dyDescent="0.25">
      <c r="B17" s="200" t="s">
        <v>50</v>
      </c>
      <c r="C17" s="201"/>
      <c r="D17" s="201"/>
      <c r="E17" s="201"/>
      <c r="F17" s="201"/>
      <c r="G17" s="201"/>
      <c r="H17" s="201"/>
      <c r="I17" s="201"/>
      <c r="J17" s="201"/>
      <c r="K17" s="202"/>
      <c r="O17" s="81"/>
    </row>
    <row r="18" spans="2:15" s="80" customFormat="1" x14ac:dyDescent="0.25">
      <c r="B18" s="203" t="s">
        <v>72</v>
      </c>
      <c r="C18" s="204"/>
      <c r="D18" s="204"/>
      <c r="E18" s="204"/>
      <c r="F18" s="204"/>
      <c r="G18" s="204"/>
      <c r="H18" s="204"/>
      <c r="I18" s="204"/>
      <c r="J18" s="204"/>
      <c r="K18" s="205"/>
    </row>
    <row r="19" spans="2:15" s="80" customFormat="1" x14ac:dyDescent="0.25">
      <c r="B19" s="203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2:15" s="80" customFormat="1" x14ac:dyDescent="0.25">
      <c r="B20" s="203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2:15" s="80" customFormat="1" x14ac:dyDescent="0.25">
      <c r="B21" s="203"/>
      <c r="C21" s="204"/>
      <c r="D21" s="204"/>
      <c r="E21" s="204"/>
      <c r="F21" s="204"/>
      <c r="G21" s="204"/>
      <c r="H21" s="204"/>
      <c r="I21" s="204"/>
      <c r="J21" s="204"/>
      <c r="K21" s="205"/>
    </row>
    <row r="22" spans="2:15" s="80" customFormat="1" x14ac:dyDescent="0.25">
      <c r="B22" s="203"/>
      <c r="C22" s="204"/>
      <c r="D22" s="204"/>
      <c r="E22" s="204"/>
      <c r="F22" s="204"/>
      <c r="G22" s="204"/>
      <c r="H22" s="204"/>
      <c r="I22" s="204"/>
      <c r="J22" s="204"/>
      <c r="K22" s="205"/>
    </row>
    <row r="23" spans="2:15" s="80" customFormat="1" x14ac:dyDescent="0.25">
      <c r="B23" s="203"/>
      <c r="C23" s="204"/>
      <c r="D23" s="204"/>
      <c r="E23" s="204"/>
      <c r="F23" s="204"/>
      <c r="G23" s="204"/>
      <c r="H23" s="204"/>
      <c r="I23" s="204"/>
      <c r="J23" s="204"/>
      <c r="K23" s="205"/>
    </row>
    <row r="24" spans="2:15" s="80" customFormat="1" x14ac:dyDescent="0.25">
      <c r="B24" s="203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2:15" s="80" customFormat="1" ht="18.75" customHeight="1" x14ac:dyDescent="0.25">
      <c r="B25" s="200" t="s">
        <v>73</v>
      </c>
      <c r="C25" s="201"/>
      <c r="D25" s="201"/>
      <c r="E25" s="201"/>
      <c r="F25" s="201"/>
      <c r="G25" s="201"/>
      <c r="H25" s="201"/>
      <c r="I25" s="201"/>
      <c r="J25" s="201"/>
      <c r="K25" s="202"/>
    </row>
    <row r="26" spans="2:15" s="80" customFormat="1" ht="18.75" customHeight="1" x14ac:dyDescent="0.25">
      <c r="B26" s="200" t="s">
        <v>74</v>
      </c>
      <c r="C26" s="201"/>
      <c r="D26" s="201"/>
      <c r="E26" s="201"/>
      <c r="F26" s="201"/>
      <c r="G26" s="201"/>
      <c r="H26" s="201"/>
      <c r="I26" s="201"/>
      <c r="J26" s="201"/>
      <c r="K26" s="202"/>
    </row>
    <row r="27" spans="2:15" s="80" customFormat="1" ht="18.75" customHeight="1" x14ac:dyDescent="0.25">
      <c r="B27" s="200" t="s">
        <v>75</v>
      </c>
      <c r="C27" s="201"/>
      <c r="D27" s="201"/>
      <c r="E27" s="201"/>
      <c r="F27" s="201"/>
      <c r="G27" s="201"/>
      <c r="H27" s="201"/>
      <c r="I27" s="201"/>
      <c r="J27" s="201"/>
      <c r="K27" s="202"/>
    </row>
    <row r="28" spans="2:15" s="80" customFormat="1" ht="9.75" customHeight="1" x14ac:dyDescent="0.25">
      <c r="B28" s="203" t="s">
        <v>76</v>
      </c>
      <c r="C28" s="204"/>
      <c r="D28" s="204"/>
      <c r="E28" s="204"/>
      <c r="F28" s="204"/>
      <c r="G28" s="204"/>
      <c r="H28" s="204"/>
      <c r="I28" s="204"/>
      <c r="J28" s="204"/>
      <c r="K28" s="205"/>
    </row>
    <row r="29" spans="2:15" s="80" customFormat="1" ht="7.5" customHeight="1" x14ac:dyDescent="0.25">
      <c r="B29" s="203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2:15" s="80" customFormat="1" ht="18.75" customHeight="1" x14ac:dyDescent="0.25">
      <c r="B30" s="192" t="s">
        <v>77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5" ht="15.75" x14ac:dyDescent="0.25">
      <c r="B31" s="96"/>
      <c r="C31" s="97"/>
      <c r="D31" s="97"/>
      <c r="E31" s="97"/>
      <c r="F31" s="97"/>
      <c r="G31" s="97"/>
      <c r="H31" s="97"/>
      <c r="I31" s="97"/>
      <c r="J31" s="97"/>
      <c r="K31" s="98"/>
    </row>
    <row r="32" spans="2:15" ht="15.75" x14ac:dyDescent="0.25">
      <c r="B32" s="96"/>
      <c r="C32" s="97"/>
      <c r="D32" s="97"/>
      <c r="E32" s="97"/>
      <c r="F32" s="97" t="s">
        <v>51</v>
      </c>
      <c r="G32" s="97"/>
      <c r="H32" s="97"/>
      <c r="I32" s="97"/>
      <c r="J32" s="97"/>
      <c r="K32" s="98"/>
    </row>
    <row r="33" spans="2:11" ht="15.75" x14ac:dyDescent="0.25">
      <c r="B33" s="206"/>
      <c r="C33" s="207"/>
      <c r="D33" s="207"/>
      <c r="E33" s="97"/>
      <c r="F33" s="97" t="s">
        <v>52</v>
      </c>
      <c r="G33" s="97"/>
      <c r="H33" s="97"/>
      <c r="I33" s="97"/>
      <c r="J33" s="97"/>
      <c r="K33" s="98"/>
    </row>
    <row r="34" spans="2:11" ht="15.75" x14ac:dyDescent="0.25">
      <c r="B34" s="206"/>
      <c r="C34" s="207"/>
      <c r="D34" s="207"/>
      <c r="E34" s="97"/>
      <c r="F34" s="97" t="s">
        <v>53</v>
      </c>
      <c r="G34" s="97"/>
      <c r="H34" s="97"/>
      <c r="I34" s="97"/>
      <c r="J34" s="97"/>
      <c r="K34" s="98"/>
    </row>
    <row r="35" spans="2:11" ht="15.75" x14ac:dyDescent="0.25">
      <c r="B35" s="206"/>
      <c r="C35" s="207"/>
      <c r="D35" s="207"/>
      <c r="E35" s="97"/>
      <c r="F35" s="97" t="s">
        <v>54</v>
      </c>
      <c r="G35" s="97"/>
      <c r="H35" s="97"/>
      <c r="I35" s="97"/>
      <c r="J35" s="97"/>
      <c r="K35" s="98"/>
    </row>
    <row r="36" spans="2:11" ht="15.75" x14ac:dyDescent="0.25">
      <c r="B36" s="96"/>
      <c r="C36" s="97"/>
      <c r="D36" s="97"/>
      <c r="E36" s="97"/>
      <c r="F36" s="97" t="s">
        <v>55</v>
      </c>
      <c r="G36" s="97"/>
      <c r="H36" s="97"/>
      <c r="I36" s="97"/>
      <c r="J36" s="97"/>
      <c r="K36" s="98"/>
    </row>
    <row r="37" spans="2:11" ht="15.75" x14ac:dyDescent="0.25">
      <c r="B37" s="96"/>
      <c r="C37" s="97"/>
      <c r="D37" s="97"/>
      <c r="E37" s="97"/>
      <c r="F37" s="97" t="s">
        <v>56</v>
      </c>
      <c r="G37" s="97"/>
      <c r="H37" s="97"/>
      <c r="I37" s="97"/>
      <c r="J37" s="97"/>
      <c r="K37" s="98"/>
    </row>
    <row r="38" spans="2:11" ht="15.75" x14ac:dyDescent="0.25">
      <c r="B38" s="96"/>
      <c r="C38" s="97"/>
      <c r="D38" s="97"/>
      <c r="E38" s="97"/>
      <c r="F38" s="97" t="s">
        <v>57</v>
      </c>
      <c r="G38" s="97"/>
      <c r="H38" s="97"/>
      <c r="I38" s="97"/>
      <c r="J38" s="97"/>
      <c r="K38" s="98"/>
    </row>
    <row r="39" spans="2:11" ht="15.75" x14ac:dyDescent="0.25">
      <c r="B39" s="96"/>
      <c r="C39" s="97"/>
      <c r="D39" s="97"/>
      <c r="E39" s="97"/>
      <c r="F39" s="97" t="s">
        <v>58</v>
      </c>
      <c r="G39" s="97"/>
      <c r="H39" s="97"/>
      <c r="I39" s="97"/>
      <c r="J39" s="97"/>
      <c r="K39" s="98"/>
    </row>
    <row r="40" spans="2:11" ht="15.75" x14ac:dyDescent="0.25">
      <c r="B40" s="96"/>
      <c r="C40" s="97"/>
      <c r="D40" s="97"/>
      <c r="E40" s="97"/>
      <c r="F40" s="97"/>
      <c r="G40" s="97"/>
      <c r="H40" s="97"/>
      <c r="I40" s="97"/>
      <c r="J40" s="97"/>
      <c r="K40" s="98"/>
    </row>
    <row r="41" spans="2:11" ht="15.75" x14ac:dyDescent="0.25">
      <c r="B41" s="96"/>
      <c r="C41" s="97"/>
      <c r="D41" s="97"/>
      <c r="E41" s="97"/>
      <c r="F41" s="97"/>
      <c r="G41" s="97"/>
      <c r="H41" s="97"/>
      <c r="I41" s="97"/>
      <c r="J41" s="97"/>
      <c r="K41" s="98"/>
    </row>
    <row r="42" spans="2:11" ht="15.75" x14ac:dyDescent="0.25">
      <c r="B42" s="99"/>
      <c r="C42" s="100"/>
      <c r="D42" s="100"/>
      <c r="E42" s="101"/>
      <c r="F42" s="102"/>
      <c r="G42" s="103"/>
      <c r="H42" s="104"/>
      <c r="I42" s="105"/>
      <c r="J42" s="101"/>
      <c r="K42" s="106"/>
    </row>
    <row r="43" spans="2:11" ht="15.75" x14ac:dyDescent="0.25">
      <c r="B43" s="208" t="s">
        <v>59</v>
      </c>
      <c r="C43" s="190"/>
      <c r="D43" s="190"/>
      <c r="E43" s="190"/>
      <c r="F43" s="190"/>
      <c r="G43" s="190"/>
      <c r="H43" s="190"/>
      <c r="I43" s="190"/>
      <c r="J43" s="190"/>
      <c r="K43" s="209"/>
    </row>
    <row r="44" spans="2:11" ht="15.75" x14ac:dyDescent="0.25">
      <c r="B44" s="210" t="s">
        <v>231</v>
      </c>
      <c r="C44" s="211"/>
      <c r="D44" s="211"/>
      <c r="E44" s="211"/>
      <c r="F44" s="211"/>
      <c r="G44" s="211"/>
      <c r="H44" s="211"/>
      <c r="I44" s="211"/>
      <c r="J44" s="211"/>
      <c r="K44" s="212"/>
    </row>
    <row r="45" spans="2:11" ht="15.75" x14ac:dyDescent="0.25">
      <c r="B45" s="208"/>
      <c r="C45" s="190"/>
      <c r="D45" s="190"/>
      <c r="E45" s="190"/>
      <c r="F45" s="190"/>
      <c r="G45" s="190"/>
      <c r="H45" s="190"/>
      <c r="I45" s="190"/>
      <c r="J45" s="190"/>
      <c r="K45" s="209"/>
    </row>
    <row r="46" spans="2:11" ht="15.75" x14ac:dyDescent="0.25">
      <c r="B46" s="208"/>
      <c r="C46" s="190"/>
      <c r="D46" s="190"/>
      <c r="E46" s="190"/>
      <c r="F46" s="190"/>
      <c r="G46" s="190"/>
      <c r="H46" s="190"/>
      <c r="I46" s="190"/>
      <c r="J46" s="190"/>
      <c r="K46" s="209"/>
    </row>
    <row r="47" spans="2:11" ht="15.75" x14ac:dyDescent="0.25">
      <c r="B47" s="99"/>
      <c r="C47" s="85"/>
      <c r="D47" s="100"/>
      <c r="E47" s="101"/>
      <c r="F47" s="102"/>
      <c r="G47" s="104"/>
      <c r="H47" s="85"/>
      <c r="I47" s="107"/>
      <c r="J47" s="101"/>
      <c r="K47" s="106"/>
    </row>
    <row r="48" spans="2:11" ht="15.75" x14ac:dyDescent="0.25">
      <c r="B48" s="86"/>
      <c r="C48" s="88"/>
      <c r="D48" s="88"/>
      <c r="E48" s="89"/>
      <c r="F48" s="88"/>
      <c r="G48" s="88"/>
      <c r="H48" s="88"/>
      <c r="I48" s="108"/>
      <c r="J48" s="109"/>
      <c r="K48" s="110"/>
    </row>
  </sheetData>
  <mergeCells count="23">
    <mergeCell ref="B33:D35"/>
    <mergeCell ref="B43:K43"/>
    <mergeCell ref="B44:K44"/>
    <mergeCell ref="B45:K45"/>
    <mergeCell ref="B46:K46"/>
    <mergeCell ref="B30:K30"/>
    <mergeCell ref="B10:K10"/>
    <mergeCell ref="B11:K11"/>
    <mergeCell ref="N12:P12"/>
    <mergeCell ref="B15:K15"/>
    <mergeCell ref="B16:K16"/>
    <mergeCell ref="B17:K17"/>
    <mergeCell ref="B18:K24"/>
    <mergeCell ref="B25:K25"/>
    <mergeCell ref="B26:K26"/>
    <mergeCell ref="B27:K27"/>
    <mergeCell ref="B28:K29"/>
    <mergeCell ref="D3:K4"/>
    <mergeCell ref="D7:D8"/>
    <mergeCell ref="E7:K7"/>
    <mergeCell ref="E8:K8"/>
    <mergeCell ref="E6:K6"/>
    <mergeCell ref="E5:K5"/>
  </mergeCells>
  <pageMargins left="0.511811024" right="0.511811024" top="0.78740157499999996" bottom="0.78740157499999996" header="0.31496062000000002" footer="0.31496062000000002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view="pageBreakPreview" topLeftCell="A19" zoomScale="145" zoomScaleNormal="145" zoomScaleSheetLayoutView="145" workbookViewId="0">
      <selection activeCell="A44" sqref="A44:J44"/>
    </sheetView>
  </sheetViews>
  <sheetFormatPr defaultRowHeight="15" x14ac:dyDescent="0.25"/>
  <cols>
    <col min="1" max="1" width="5" style="2" bestFit="1" customWidth="1"/>
    <col min="2" max="2" width="10.85546875" style="26" bestFit="1" customWidth="1"/>
    <col min="3" max="3" width="12.7109375" style="63" customWidth="1"/>
    <col min="4" max="4" width="87.7109375" style="3" customWidth="1"/>
    <col min="5" max="5" width="5.7109375" style="2" bestFit="1" customWidth="1"/>
    <col min="6" max="6" width="8.85546875" style="1"/>
    <col min="7" max="7" width="12.140625" style="140" bestFit="1" customWidth="1"/>
    <col min="8" max="8" width="12" style="140" bestFit="1" customWidth="1"/>
    <col min="9" max="9" width="16.140625" style="140" customWidth="1"/>
    <col min="10" max="10" width="15.85546875" style="2" bestFit="1" customWidth="1"/>
    <col min="11" max="12" width="13" bestFit="1" customWidth="1"/>
  </cols>
  <sheetData>
    <row r="1" spans="1:10" x14ac:dyDescent="0.25">
      <c r="A1" s="247"/>
      <c r="B1" s="248"/>
      <c r="C1" s="248"/>
      <c r="D1" s="248"/>
      <c r="E1" s="248"/>
      <c r="F1" s="248"/>
      <c r="G1" s="248"/>
      <c r="H1" s="248"/>
      <c r="I1" s="248"/>
      <c r="J1" s="249"/>
    </row>
    <row r="2" spans="1:10" x14ac:dyDescent="0.25">
      <c r="A2" s="234" t="s">
        <v>229</v>
      </c>
      <c r="B2" s="235"/>
      <c r="C2" s="235"/>
      <c r="D2" s="235"/>
      <c r="E2" s="235"/>
      <c r="F2" s="235"/>
      <c r="G2" s="235"/>
      <c r="H2" s="235"/>
      <c r="I2" s="235"/>
      <c r="J2" s="236"/>
    </row>
    <row r="3" spans="1:10" x14ac:dyDescent="0.25">
      <c r="A3" s="234" t="s">
        <v>223</v>
      </c>
      <c r="B3" s="235"/>
      <c r="C3" s="235"/>
      <c r="D3" s="235"/>
      <c r="E3" s="235"/>
      <c r="F3" s="235"/>
      <c r="G3" s="235"/>
      <c r="H3" s="235"/>
      <c r="I3" s="235"/>
      <c r="J3" s="236"/>
    </row>
    <row r="4" spans="1:10" x14ac:dyDescent="0.25">
      <c r="A4" s="234" t="s">
        <v>38</v>
      </c>
      <c r="B4" s="235"/>
      <c r="C4" s="235"/>
      <c r="D4" s="235"/>
      <c r="E4" s="235"/>
      <c r="F4" s="235"/>
      <c r="G4" s="235"/>
      <c r="H4" s="235"/>
      <c r="I4" s="235"/>
      <c r="J4" s="236"/>
    </row>
    <row r="5" spans="1:10" x14ac:dyDescent="0.25">
      <c r="A5" s="234" t="s">
        <v>228</v>
      </c>
      <c r="B5" s="235"/>
      <c r="C5" s="235"/>
      <c r="D5" s="235"/>
      <c r="E5" s="235"/>
      <c r="F5" s="235"/>
      <c r="G5" s="235"/>
      <c r="H5" s="235"/>
      <c r="I5" s="235"/>
      <c r="J5" s="236"/>
    </row>
    <row r="6" spans="1:10" ht="15.75" thickBot="1" x14ac:dyDescent="0.3">
      <c r="A6" s="234"/>
      <c r="B6" s="235"/>
      <c r="C6" s="235"/>
      <c r="D6" s="235"/>
      <c r="E6" s="235"/>
      <c r="F6" s="235"/>
      <c r="G6" s="235"/>
      <c r="H6" s="235"/>
      <c r="I6" s="235"/>
      <c r="J6" s="236"/>
    </row>
    <row r="7" spans="1:10" ht="26.25" thickBot="1" x14ac:dyDescent="0.3">
      <c r="A7" s="53" t="s">
        <v>0</v>
      </c>
      <c r="B7" s="237" t="s">
        <v>1</v>
      </c>
      <c r="C7" s="238"/>
      <c r="D7" s="47" t="s">
        <v>2</v>
      </c>
      <c r="E7" s="48" t="s">
        <v>3</v>
      </c>
      <c r="F7" s="49" t="s">
        <v>4</v>
      </c>
      <c r="G7" s="50" t="s">
        <v>5</v>
      </c>
      <c r="H7" s="51" t="s">
        <v>6</v>
      </c>
      <c r="I7" s="50" t="s">
        <v>7</v>
      </c>
      <c r="J7" s="52" t="s">
        <v>8</v>
      </c>
    </row>
    <row r="8" spans="1:10" ht="15.75" thickBot="1" x14ac:dyDescent="0.3">
      <c r="A8" s="239" t="s">
        <v>9</v>
      </c>
      <c r="B8" s="240"/>
      <c r="C8" s="240"/>
      <c r="D8" s="240"/>
      <c r="E8" s="240"/>
      <c r="F8" s="240"/>
      <c r="G8" s="240"/>
      <c r="H8" s="240"/>
      <c r="I8" s="240"/>
      <c r="J8" s="241"/>
    </row>
    <row r="9" spans="1:10" x14ac:dyDescent="0.25">
      <c r="A9" s="37">
        <v>1</v>
      </c>
      <c r="B9" s="242">
        <v>20000</v>
      </c>
      <c r="C9" s="242"/>
      <c r="D9" s="214" t="s">
        <v>10</v>
      </c>
      <c r="E9" s="214"/>
      <c r="F9" s="214"/>
      <c r="G9" s="214"/>
      <c r="H9" s="214"/>
      <c r="I9" s="214"/>
      <c r="J9" s="215"/>
    </row>
    <row r="10" spans="1:10" x14ac:dyDescent="0.25">
      <c r="A10" s="33" t="s">
        <v>86</v>
      </c>
      <c r="B10" s="61" t="s">
        <v>90</v>
      </c>
      <c r="C10" s="34">
        <v>20117</v>
      </c>
      <c r="D10" s="31" t="s">
        <v>78</v>
      </c>
      <c r="E10" s="36" t="s">
        <v>79</v>
      </c>
      <c r="F10" s="111">
        <f>MEMORIA!D11</f>
        <v>75.614000000000004</v>
      </c>
      <c r="G10" s="39">
        <v>0</v>
      </c>
      <c r="H10" s="40">
        <v>4.53</v>
      </c>
      <c r="I10" s="41">
        <f>(G10+H10)*F10</f>
        <v>342.53142000000003</v>
      </c>
      <c r="J10" s="27"/>
    </row>
    <row r="11" spans="1:10" ht="25.5" x14ac:dyDescent="0.25">
      <c r="A11" s="33" t="s">
        <v>87</v>
      </c>
      <c r="B11" s="61" t="s">
        <v>90</v>
      </c>
      <c r="C11" s="59">
        <v>20111</v>
      </c>
      <c r="D11" s="42" t="s">
        <v>80</v>
      </c>
      <c r="E11" s="36" t="s">
        <v>79</v>
      </c>
      <c r="F11" s="111">
        <f>MEMORIA!D14</f>
        <v>75.614000000000004</v>
      </c>
      <c r="G11" s="43">
        <v>0</v>
      </c>
      <c r="H11" s="44">
        <v>7.82</v>
      </c>
      <c r="I11" s="41">
        <f t="shared" ref="I11:I14" si="0">(G11+H11)*F11</f>
        <v>591.30148000000008</v>
      </c>
      <c r="J11" s="128"/>
    </row>
    <row r="12" spans="1:10" x14ac:dyDescent="0.25">
      <c r="A12" s="33" t="s">
        <v>88</v>
      </c>
      <c r="B12" s="61" t="s">
        <v>90</v>
      </c>
      <c r="C12" s="34">
        <v>20157</v>
      </c>
      <c r="D12" s="31" t="s">
        <v>81</v>
      </c>
      <c r="E12" s="36" t="s">
        <v>79</v>
      </c>
      <c r="F12" s="111">
        <f>MEMORIA!D17</f>
        <v>10.360000000000001</v>
      </c>
      <c r="G12" s="43">
        <v>0</v>
      </c>
      <c r="H12" s="44">
        <v>4.2</v>
      </c>
      <c r="I12" s="41">
        <f t="shared" si="0"/>
        <v>43.512000000000008</v>
      </c>
      <c r="J12" s="128"/>
    </row>
    <row r="13" spans="1:10" s="113" customFormat="1" ht="25.5" x14ac:dyDescent="0.25">
      <c r="A13" s="33" t="s">
        <v>89</v>
      </c>
      <c r="B13" s="61" t="s">
        <v>90</v>
      </c>
      <c r="C13" s="59">
        <v>20102</v>
      </c>
      <c r="D13" s="42" t="s">
        <v>126</v>
      </c>
      <c r="E13" s="36" t="s">
        <v>103</v>
      </c>
      <c r="F13" s="111">
        <f>MEMORIA!D20</f>
        <v>310.5</v>
      </c>
      <c r="G13" s="43">
        <v>0</v>
      </c>
      <c r="H13" s="44">
        <v>2.79</v>
      </c>
      <c r="I13" s="41">
        <f t="shared" si="0"/>
        <v>866.29499999999996</v>
      </c>
      <c r="J13" s="128"/>
    </row>
    <row r="14" spans="1:10" ht="25.5" x14ac:dyDescent="0.25">
      <c r="A14" s="33" t="s">
        <v>89</v>
      </c>
      <c r="B14" s="61" t="s">
        <v>90</v>
      </c>
      <c r="C14" s="59">
        <v>21301</v>
      </c>
      <c r="D14" s="42" t="s">
        <v>83</v>
      </c>
      <c r="E14" s="36" t="s">
        <v>79</v>
      </c>
      <c r="F14" s="111">
        <f>MEMORIA!D24</f>
        <v>3</v>
      </c>
      <c r="G14" s="43">
        <v>387.16</v>
      </c>
      <c r="H14" s="44">
        <v>2.74</v>
      </c>
      <c r="I14" s="41">
        <f t="shared" si="0"/>
        <v>1169.7</v>
      </c>
      <c r="J14" s="128"/>
    </row>
    <row r="15" spans="1:10" ht="15.75" thickBot="1" x14ac:dyDescent="0.3">
      <c r="A15" s="216" t="s">
        <v>11</v>
      </c>
      <c r="B15" s="217"/>
      <c r="C15" s="217"/>
      <c r="D15" s="217"/>
      <c r="E15" s="217"/>
      <c r="F15" s="217"/>
      <c r="G15" s="217"/>
      <c r="H15" s="217"/>
      <c r="I15" s="129">
        <f>SUM(I10:I14)</f>
        <v>3013.3398999999999</v>
      </c>
      <c r="J15" s="130">
        <f>I15*1.2465</f>
        <v>3756.12818535</v>
      </c>
    </row>
    <row r="16" spans="1:10" ht="15.75" thickBot="1" x14ac:dyDescent="0.3">
      <c r="A16" s="243" t="s">
        <v>12</v>
      </c>
      <c r="B16" s="244"/>
      <c r="C16" s="244"/>
      <c r="D16" s="244"/>
      <c r="E16" s="244"/>
      <c r="F16" s="244"/>
      <c r="G16" s="244"/>
      <c r="H16" s="244"/>
      <c r="I16" s="244"/>
      <c r="J16" s="245"/>
    </row>
    <row r="17" spans="1:10" x14ac:dyDescent="0.25">
      <c r="A17" s="78">
        <v>2</v>
      </c>
      <c r="B17" s="246">
        <v>30000</v>
      </c>
      <c r="C17" s="246"/>
      <c r="D17" s="214" t="s">
        <v>13</v>
      </c>
      <c r="E17" s="214"/>
      <c r="F17" s="214"/>
      <c r="G17" s="214"/>
      <c r="H17" s="214"/>
      <c r="I17" s="214"/>
      <c r="J17" s="215"/>
    </row>
    <row r="18" spans="1:10" x14ac:dyDescent="0.25">
      <c r="A18" s="29" t="s">
        <v>128</v>
      </c>
      <c r="B18" s="61" t="s">
        <v>90</v>
      </c>
      <c r="C18" s="34">
        <v>30104</v>
      </c>
      <c r="D18" s="31" t="s">
        <v>91</v>
      </c>
      <c r="E18" s="30" t="s">
        <v>92</v>
      </c>
      <c r="F18" s="28">
        <f>MEMORIA!D32</f>
        <v>87.354399999999998</v>
      </c>
      <c r="G18" s="45">
        <v>84.55</v>
      </c>
      <c r="H18" s="40">
        <v>0</v>
      </c>
      <c r="I18" s="41">
        <f>(H18+G18)*F18</f>
        <v>7385.8145199999999</v>
      </c>
      <c r="J18" s="128"/>
    </row>
    <row r="19" spans="1:10" ht="15.75" thickBot="1" x14ac:dyDescent="0.3">
      <c r="A19" s="216" t="s">
        <v>11</v>
      </c>
      <c r="B19" s="217"/>
      <c r="C19" s="217"/>
      <c r="D19" s="217"/>
      <c r="E19" s="217"/>
      <c r="F19" s="217"/>
      <c r="G19" s="217"/>
      <c r="H19" s="217"/>
      <c r="I19" s="46">
        <f>SUM(I18:I18)</f>
        <v>7385.8145199999999</v>
      </c>
      <c r="J19" s="130">
        <f>I19*1.2465</f>
        <v>9206.4177991799988</v>
      </c>
    </row>
    <row r="20" spans="1:10" ht="15.75" thickBot="1" x14ac:dyDescent="0.3">
      <c r="A20" s="228" t="s">
        <v>93</v>
      </c>
      <c r="B20" s="229"/>
      <c r="C20" s="229"/>
      <c r="D20" s="229"/>
      <c r="E20" s="229"/>
      <c r="F20" s="229"/>
      <c r="G20" s="229"/>
      <c r="H20" s="229"/>
      <c r="I20" s="229"/>
      <c r="J20" s="230"/>
    </row>
    <row r="21" spans="1:10" x14ac:dyDescent="0.25">
      <c r="A21" s="37">
        <v>3</v>
      </c>
      <c r="B21" s="213">
        <v>160000</v>
      </c>
      <c r="C21" s="213"/>
      <c r="D21" s="214" t="s">
        <v>94</v>
      </c>
      <c r="E21" s="214"/>
      <c r="F21" s="214"/>
      <c r="G21" s="214"/>
      <c r="H21" s="214"/>
      <c r="I21" s="214"/>
      <c r="J21" s="215"/>
    </row>
    <row r="22" spans="1:10" x14ac:dyDescent="0.25">
      <c r="A22" s="32" t="s">
        <v>129</v>
      </c>
      <c r="B22" s="61" t="s">
        <v>90</v>
      </c>
      <c r="C22" s="117">
        <v>160501</v>
      </c>
      <c r="D22" s="118" t="s">
        <v>95</v>
      </c>
      <c r="E22" s="118" t="s">
        <v>79</v>
      </c>
      <c r="F22" s="131">
        <f>MEMORIA!D36</f>
        <v>310.5</v>
      </c>
      <c r="G22" s="40">
        <v>37.409999999999997</v>
      </c>
      <c r="H22" s="40">
        <v>6.87</v>
      </c>
      <c r="I22" s="39">
        <f>(H22+G22)*F22</f>
        <v>13748.939999999999</v>
      </c>
      <c r="J22" s="128"/>
    </row>
    <row r="23" spans="1:10" s="113" customFormat="1" x14ac:dyDescent="0.25">
      <c r="A23" s="32" t="s">
        <v>130</v>
      </c>
      <c r="B23" s="61" t="s">
        <v>90</v>
      </c>
      <c r="C23" s="117">
        <v>160601</v>
      </c>
      <c r="D23" s="118" t="s">
        <v>96</v>
      </c>
      <c r="E23" s="118" t="s">
        <v>97</v>
      </c>
      <c r="F23" s="131">
        <f>MEMORIA!D39</f>
        <v>25.900000000000002</v>
      </c>
      <c r="G23" s="40">
        <v>24.56</v>
      </c>
      <c r="H23" s="58">
        <v>30.2</v>
      </c>
      <c r="I23" s="39">
        <f t="shared" ref="I23:I24" si="1">(H23+G23)*F23</f>
        <v>1418.2840000000001</v>
      </c>
      <c r="J23" s="132"/>
    </row>
    <row r="24" spans="1:10" s="113" customFormat="1" x14ac:dyDescent="0.25">
      <c r="A24" s="32" t="s">
        <v>131</v>
      </c>
      <c r="B24" s="61" t="s">
        <v>90</v>
      </c>
      <c r="C24" s="117">
        <v>160602</v>
      </c>
      <c r="D24" s="118" t="s">
        <v>98</v>
      </c>
      <c r="E24" s="118" t="s">
        <v>97</v>
      </c>
      <c r="F24" s="131">
        <f>MEMORIA!D42</f>
        <v>25.900000000000002</v>
      </c>
      <c r="G24" s="40">
        <v>18.66</v>
      </c>
      <c r="H24" s="58">
        <v>15.64</v>
      </c>
      <c r="I24" s="39">
        <f t="shared" si="1"/>
        <v>888.37</v>
      </c>
      <c r="J24" s="132"/>
    </row>
    <row r="25" spans="1:10" ht="15.75" thickBot="1" x14ac:dyDescent="0.3">
      <c r="A25" s="224" t="s">
        <v>11</v>
      </c>
      <c r="B25" s="217"/>
      <c r="C25" s="217"/>
      <c r="D25" s="217"/>
      <c r="E25" s="217"/>
      <c r="F25" s="217"/>
      <c r="G25" s="217"/>
      <c r="H25" s="217"/>
      <c r="I25" s="46">
        <f>SUM(I22:I24)</f>
        <v>16055.593999999999</v>
      </c>
      <c r="J25" s="130">
        <f>I25*1.2465</f>
        <v>20013.297920999998</v>
      </c>
    </row>
    <row r="26" spans="1:10" s="113" customFormat="1" ht="15.75" thickBot="1" x14ac:dyDescent="0.3">
      <c r="A26" s="231" t="s">
        <v>100</v>
      </c>
      <c r="B26" s="232"/>
      <c r="C26" s="232"/>
      <c r="D26" s="232"/>
      <c r="E26" s="232"/>
      <c r="F26" s="232"/>
      <c r="G26" s="232"/>
      <c r="H26" s="232"/>
      <c r="I26" s="232"/>
      <c r="J26" s="233"/>
    </row>
    <row r="27" spans="1:10" s="113" customFormat="1" x14ac:dyDescent="0.25">
      <c r="A27" s="37">
        <v>4</v>
      </c>
      <c r="B27" s="213">
        <v>170000</v>
      </c>
      <c r="C27" s="213"/>
      <c r="D27" s="214" t="s">
        <v>99</v>
      </c>
      <c r="E27" s="214"/>
      <c r="F27" s="214"/>
      <c r="G27" s="214"/>
      <c r="H27" s="214"/>
      <c r="I27" s="214"/>
      <c r="J27" s="215"/>
    </row>
    <row r="28" spans="1:10" s="113" customFormat="1" x14ac:dyDescent="0.25">
      <c r="A28" s="32" t="s">
        <v>169</v>
      </c>
      <c r="B28" s="259" t="s">
        <v>133</v>
      </c>
      <c r="C28" s="260"/>
      <c r="D28" s="118" t="s">
        <v>148</v>
      </c>
      <c r="E28" s="118" t="s">
        <v>188</v>
      </c>
      <c r="F28" s="131">
        <f>MEMORIA!D46</f>
        <v>7</v>
      </c>
      <c r="G28" s="218">
        <f>'COMPOSIÇÃO '!I15</f>
        <v>562.47080000000005</v>
      </c>
      <c r="H28" s="219"/>
      <c r="I28" s="39">
        <f>G28*F28</f>
        <v>3937.2956000000004</v>
      </c>
      <c r="J28" s="128"/>
    </row>
    <row r="29" spans="1:10" s="113" customFormat="1" x14ac:dyDescent="0.25">
      <c r="A29" s="147" t="s">
        <v>170</v>
      </c>
      <c r="B29" s="259" t="s">
        <v>158</v>
      </c>
      <c r="C29" s="260"/>
      <c r="D29" s="118" t="s">
        <v>149</v>
      </c>
      <c r="E29" s="118" t="s">
        <v>188</v>
      </c>
      <c r="F29" s="131">
        <f>MEMORIA!D49</f>
        <v>20</v>
      </c>
      <c r="G29" s="218">
        <f>'COMPOSIÇÃO '!I24</f>
        <v>627.78089999999997</v>
      </c>
      <c r="H29" s="219"/>
      <c r="I29" s="39">
        <f t="shared" ref="I29:I31" si="2">G29*F29</f>
        <v>12555.617999999999</v>
      </c>
      <c r="J29" s="132"/>
    </row>
    <row r="30" spans="1:10" s="113" customFormat="1" x14ac:dyDescent="0.25">
      <c r="A30" s="147" t="s">
        <v>171</v>
      </c>
      <c r="B30" s="259" t="s">
        <v>159</v>
      </c>
      <c r="C30" s="260"/>
      <c r="D30" s="118" t="s">
        <v>150</v>
      </c>
      <c r="E30" s="118" t="s">
        <v>188</v>
      </c>
      <c r="F30" s="131">
        <f>MEMORIA!D52</f>
        <v>48</v>
      </c>
      <c r="G30" s="218">
        <f>'COMPOSIÇÃO '!I33</f>
        <v>744.45609999999999</v>
      </c>
      <c r="H30" s="219"/>
      <c r="I30" s="39">
        <f t="shared" si="2"/>
        <v>35733.892800000001</v>
      </c>
      <c r="J30" s="132"/>
    </row>
    <row r="31" spans="1:10" s="113" customFormat="1" x14ac:dyDescent="0.25">
      <c r="A31" s="147" t="s">
        <v>178</v>
      </c>
      <c r="B31" s="259" t="s">
        <v>193</v>
      </c>
      <c r="C31" s="260"/>
      <c r="D31" s="118" t="s">
        <v>195</v>
      </c>
      <c r="E31" s="118" t="s">
        <v>188</v>
      </c>
      <c r="F31" s="154">
        <v>9</v>
      </c>
      <c r="G31" s="218">
        <f>'COMPOSIÇÃO '!I42</f>
        <v>1014.7865</v>
      </c>
      <c r="H31" s="219"/>
      <c r="I31" s="39">
        <f t="shared" si="2"/>
        <v>9133.0784999999996</v>
      </c>
      <c r="J31" s="132"/>
    </row>
    <row r="32" spans="1:10" s="113" customFormat="1" ht="15.75" thickBot="1" x14ac:dyDescent="0.3">
      <c r="A32" s="216" t="s">
        <v>11</v>
      </c>
      <c r="B32" s="217"/>
      <c r="C32" s="217"/>
      <c r="D32" s="217"/>
      <c r="E32" s="217"/>
      <c r="F32" s="217"/>
      <c r="G32" s="217"/>
      <c r="H32" s="217"/>
      <c r="I32" s="46">
        <f>SUM(I28:I31)</f>
        <v>61359.884900000005</v>
      </c>
      <c r="J32" s="130">
        <f>I32*1.2465</f>
        <v>76485.096527850008</v>
      </c>
    </row>
    <row r="33" spans="1:10" ht="15.75" thickBot="1" x14ac:dyDescent="0.3">
      <c r="A33" s="231" t="s">
        <v>14</v>
      </c>
      <c r="B33" s="232"/>
      <c r="C33" s="232"/>
      <c r="D33" s="232"/>
      <c r="E33" s="232"/>
      <c r="F33" s="232"/>
      <c r="G33" s="232"/>
      <c r="H33" s="232"/>
      <c r="I33" s="232"/>
      <c r="J33" s="233"/>
    </row>
    <row r="34" spans="1:10" x14ac:dyDescent="0.25">
      <c r="A34" s="37">
        <v>5</v>
      </c>
      <c r="B34" s="213" t="s">
        <v>15</v>
      </c>
      <c r="C34" s="213"/>
      <c r="D34" s="214" t="s">
        <v>16</v>
      </c>
      <c r="E34" s="214"/>
      <c r="F34" s="214"/>
      <c r="G34" s="214"/>
      <c r="H34" s="214"/>
      <c r="I34" s="214"/>
      <c r="J34" s="215"/>
    </row>
    <row r="35" spans="1:10" ht="25.5" x14ac:dyDescent="0.25">
      <c r="A35" s="32" t="s">
        <v>172</v>
      </c>
      <c r="B35" s="261" t="s">
        <v>210</v>
      </c>
      <c r="C35" s="262"/>
      <c r="D35" s="38" t="s">
        <v>160</v>
      </c>
      <c r="E35" s="34" t="s">
        <v>101</v>
      </c>
      <c r="F35" s="35">
        <f>MEMORIA!D59</f>
        <v>2218.4499999999998</v>
      </c>
      <c r="G35" s="218">
        <f>'COMPOSIÇÃO '!I50</f>
        <v>147.202</v>
      </c>
      <c r="H35" s="219"/>
      <c r="I35" s="39">
        <f>G35*F35</f>
        <v>326560.2769</v>
      </c>
      <c r="J35" s="128"/>
    </row>
    <row r="36" spans="1:10" s="73" customFormat="1" x14ac:dyDescent="0.25">
      <c r="A36" s="72" t="s">
        <v>173</v>
      </c>
      <c r="B36" s="61" t="s">
        <v>90</v>
      </c>
      <c r="C36" s="74">
        <v>220102</v>
      </c>
      <c r="D36" s="76" t="s">
        <v>102</v>
      </c>
      <c r="E36" s="34" t="s">
        <v>104</v>
      </c>
      <c r="F36" s="75">
        <f>MEMORIA!D62</f>
        <v>791.77</v>
      </c>
      <c r="G36" s="40">
        <v>22.18</v>
      </c>
      <c r="H36" s="40">
        <v>11.35</v>
      </c>
      <c r="I36" s="39">
        <f>(G36+H36)*F36</f>
        <v>26548.0481</v>
      </c>
      <c r="J36" s="133"/>
    </row>
    <row r="37" spans="1:10" s="73" customFormat="1" x14ac:dyDescent="0.25">
      <c r="A37" s="72" t="s">
        <v>213</v>
      </c>
      <c r="B37" s="61" t="s">
        <v>225</v>
      </c>
      <c r="C37" s="74">
        <v>13003009</v>
      </c>
      <c r="D37" s="76" t="s">
        <v>224</v>
      </c>
      <c r="E37" s="34" t="s">
        <v>226</v>
      </c>
      <c r="F37" s="75">
        <f>MEMORIA!D65</f>
        <v>1080.2</v>
      </c>
      <c r="G37" s="40">
        <v>24.36</v>
      </c>
      <c r="H37" s="40"/>
      <c r="I37" s="39">
        <f>G37*F37</f>
        <v>26313.672000000002</v>
      </c>
      <c r="J37" s="133"/>
    </row>
    <row r="38" spans="1:10" ht="15.75" customHeight="1" thickBot="1" x14ac:dyDescent="0.3">
      <c r="A38" s="225" t="s">
        <v>11</v>
      </c>
      <c r="B38" s="226"/>
      <c r="C38" s="226"/>
      <c r="D38" s="226"/>
      <c r="E38" s="226"/>
      <c r="F38" s="226"/>
      <c r="G38" s="226"/>
      <c r="H38" s="227"/>
      <c r="I38" s="46">
        <f>SUM(I35:I37)</f>
        <v>379421.99700000003</v>
      </c>
      <c r="J38" s="130">
        <f>I38*1.2465</f>
        <v>472949.51926050003</v>
      </c>
    </row>
    <row r="39" spans="1:10" ht="15.75" thickBot="1" x14ac:dyDescent="0.3">
      <c r="A39" s="228" t="s">
        <v>105</v>
      </c>
      <c r="B39" s="229"/>
      <c r="C39" s="229"/>
      <c r="D39" s="229"/>
      <c r="E39" s="229"/>
      <c r="F39" s="229"/>
      <c r="G39" s="229"/>
      <c r="H39" s="229"/>
      <c r="I39" s="229"/>
      <c r="J39" s="230"/>
    </row>
    <row r="40" spans="1:10" x14ac:dyDescent="0.25">
      <c r="A40" s="37">
        <v>6</v>
      </c>
      <c r="B40" s="213">
        <v>250000</v>
      </c>
      <c r="C40" s="213"/>
      <c r="D40" s="220" t="s">
        <v>106</v>
      </c>
      <c r="E40" s="221"/>
      <c r="F40" s="221"/>
      <c r="G40" s="221"/>
      <c r="H40" s="221"/>
      <c r="I40" s="221"/>
      <c r="J40" s="222"/>
    </row>
    <row r="41" spans="1:10" x14ac:dyDescent="0.25">
      <c r="A41" s="32" t="s">
        <v>200</v>
      </c>
      <c r="B41" s="61" t="s">
        <v>90</v>
      </c>
      <c r="C41" s="34">
        <v>250103</v>
      </c>
      <c r="D41" s="38" t="s">
        <v>107</v>
      </c>
      <c r="E41" s="30" t="s">
        <v>108</v>
      </c>
      <c r="F41" s="35">
        <f>MEMORIA!D71</f>
        <v>280</v>
      </c>
      <c r="G41" s="40">
        <v>0</v>
      </c>
      <c r="H41" s="40">
        <v>21.43</v>
      </c>
      <c r="I41" s="39">
        <f>H41*F41</f>
        <v>6000.4</v>
      </c>
      <c r="J41" s="128"/>
    </row>
    <row r="42" spans="1:10" x14ac:dyDescent="0.25">
      <c r="A42" s="32" t="s">
        <v>201</v>
      </c>
      <c r="B42" s="61" t="s">
        <v>90</v>
      </c>
      <c r="C42" s="66">
        <v>250102</v>
      </c>
      <c r="D42" s="57" t="s">
        <v>109</v>
      </c>
      <c r="E42" s="56" t="s">
        <v>110</v>
      </c>
      <c r="F42" s="54">
        <f>MEMORIA!D76</f>
        <v>280</v>
      </c>
      <c r="G42" s="58">
        <v>0</v>
      </c>
      <c r="H42" s="58">
        <v>38.86</v>
      </c>
      <c r="I42" s="39">
        <f>H42*F42</f>
        <v>10880.8</v>
      </c>
      <c r="J42" s="128"/>
    </row>
    <row r="43" spans="1:10" ht="15.75" thickBot="1" x14ac:dyDescent="0.3">
      <c r="A43" s="225" t="s">
        <v>11</v>
      </c>
      <c r="B43" s="226"/>
      <c r="C43" s="226"/>
      <c r="D43" s="226"/>
      <c r="E43" s="226"/>
      <c r="F43" s="226"/>
      <c r="G43" s="226"/>
      <c r="H43" s="227"/>
      <c r="I43" s="46">
        <f>SUM(I41:I42)</f>
        <v>16881.199999999997</v>
      </c>
      <c r="J43" s="130">
        <f>I43*1.2465</f>
        <v>21042.415799999995</v>
      </c>
    </row>
    <row r="44" spans="1:10" ht="15.75" thickBot="1" x14ac:dyDescent="0.3">
      <c r="A44" s="228" t="s">
        <v>17</v>
      </c>
      <c r="B44" s="229"/>
      <c r="C44" s="229"/>
      <c r="D44" s="229"/>
      <c r="E44" s="229"/>
      <c r="F44" s="229"/>
      <c r="G44" s="229"/>
      <c r="H44" s="229"/>
      <c r="I44" s="229"/>
      <c r="J44" s="230"/>
    </row>
    <row r="45" spans="1:10" x14ac:dyDescent="0.25">
      <c r="A45" s="37">
        <v>7</v>
      </c>
      <c r="B45" s="213" t="s">
        <v>18</v>
      </c>
      <c r="C45" s="213"/>
      <c r="D45" s="220" t="s">
        <v>19</v>
      </c>
      <c r="E45" s="221"/>
      <c r="F45" s="221"/>
      <c r="G45" s="221"/>
      <c r="H45" s="221"/>
      <c r="I45" s="221"/>
      <c r="J45" s="222"/>
    </row>
    <row r="46" spans="1:10" x14ac:dyDescent="0.25">
      <c r="A46" s="32" t="s">
        <v>202</v>
      </c>
      <c r="B46" s="61" t="s">
        <v>90</v>
      </c>
      <c r="C46" s="34">
        <v>261001</v>
      </c>
      <c r="D46" s="38" t="s">
        <v>111</v>
      </c>
      <c r="E46" s="30" t="s">
        <v>82</v>
      </c>
      <c r="F46" s="35">
        <f>MEMORIA!D80</f>
        <v>4502.5</v>
      </c>
      <c r="G46" s="40">
        <v>3.82</v>
      </c>
      <c r="H46" s="40">
        <v>6.86</v>
      </c>
      <c r="I46" s="39">
        <f t="shared" ref="I46:I51" si="3">(G46+H46)*F46</f>
        <v>48086.7</v>
      </c>
      <c r="J46" s="128"/>
    </row>
    <row r="47" spans="1:10" x14ac:dyDescent="0.25">
      <c r="A47" s="32" t="s">
        <v>203</v>
      </c>
      <c r="B47" s="61" t="s">
        <v>90</v>
      </c>
      <c r="C47" s="61">
        <v>261301</v>
      </c>
      <c r="D47" s="38" t="s">
        <v>112</v>
      </c>
      <c r="E47" s="30" t="s">
        <v>79</v>
      </c>
      <c r="F47" s="35">
        <f>MEMORIA!D83</f>
        <v>267.49299999999999</v>
      </c>
      <c r="G47" s="40">
        <v>1.52</v>
      </c>
      <c r="H47" s="40">
        <v>5.86</v>
      </c>
      <c r="I47" s="39">
        <f t="shared" si="3"/>
        <v>1974.0983400000002</v>
      </c>
      <c r="J47" s="128"/>
    </row>
    <row r="48" spans="1:10" x14ac:dyDescent="0.25">
      <c r="A48" s="32" t="s">
        <v>204</v>
      </c>
      <c r="B48" s="61" t="s">
        <v>90</v>
      </c>
      <c r="C48" s="34">
        <v>261307</v>
      </c>
      <c r="D48" s="38" t="s">
        <v>113</v>
      </c>
      <c r="E48" s="30" t="s">
        <v>79</v>
      </c>
      <c r="F48" s="35">
        <f>MEMORIA!D87</f>
        <v>5070.92</v>
      </c>
      <c r="G48" s="40">
        <v>3.82</v>
      </c>
      <c r="H48" s="40">
        <v>4.9400000000000004</v>
      </c>
      <c r="I48" s="39">
        <f t="shared" si="3"/>
        <v>44421.2592</v>
      </c>
      <c r="J48" s="128"/>
    </row>
    <row r="49" spans="1:12" s="113" customFormat="1" ht="25.5" x14ac:dyDescent="0.25">
      <c r="A49" s="32" t="s">
        <v>184</v>
      </c>
      <c r="B49" s="61" t="s">
        <v>90</v>
      </c>
      <c r="C49" s="66">
        <v>261504</v>
      </c>
      <c r="D49" s="57" t="s">
        <v>215</v>
      </c>
      <c r="E49" s="56" t="s">
        <v>79</v>
      </c>
      <c r="F49" s="54">
        <f>MEMORIA!D92</f>
        <v>951.65</v>
      </c>
      <c r="G49" s="58">
        <v>2.0099999999999998</v>
      </c>
      <c r="H49" s="58">
        <v>8.3000000000000007</v>
      </c>
      <c r="I49" s="39">
        <f t="shared" si="3"/>
        <v>9811.5115000000005</v>
      </c>
      <c r="J49" s="128"/>
    </row>
    <row r="50" spans="1:12" x14ac:dyDescent="0.25">
      <c r="A50" s="32" t="s">
        <v>216</v>
      </c>
      <c r="B50" s="61" t="s">
        <v>90</v>
      </c>
      <c r="C50" s="66">
        <v>261703</v>
      </c>
      <c r="D50" s="57" t="s">
        <v>114</v>
      </c>
      <c r="E50" s="56" t="s">
        <v>79</v>
      </c>
      <c r="F50" s="54">
        <f>MEMORIA!D95</f>
        <v>791.77</v>
      </c>
      <c r="G50" s="58">
        <v>3.51</v>
      </c>
      <c r="H50" s="58">
        <v>7.75</v>
      </c>
      <c r="I50" s="39">
        <f t="shared" si="3"/>
        <v>8915.3302000000003</v>
      </c>
      <c r="J50" s="128"/>
    </row>
    <row r="51" spans="1:12" s="113" customFormat="1" ht="38.25" x14ac:dyDescent="0.25">
      <c r="A51" s="32" t="s">
        <v>232</v>
      </c>
      <c r="B51" s="61" t="s">
        <v>90</v>
      </c>
      <c r="C51" s="66">
        <v>261704</v>
      </c>
      <c r="D51" s="57" t="s">
        <v>222</v>
      </c>
      <c r="E51" s="56" t="s">
        <v>221</v>
      </c>
      <c r="F51" s="54">
        <v>2</v>
      </c>
      <c r="G51" s="58">
        <v>36.909999999999997</v>
      </c>
      <c r="H51" s="58">
        <v>5.42</v>
      </c>
      <c r="I51" s="39">
        <f t="shared" si="3"/>
        <v>84.66</v>
      </c>
      <c r="J51" s="132"/>
    </row>
    <row r="52" spans="1:12" ht="15.75" thickBot="1" x14ac:dyDescent="0.3">
      <c r="A52" s="225" t="s">
        <v>11</v>
      </c>
      <c r="B52" s="226"/>
      <c r="C52" s="226"/>
      <c r="D52" s="226"/>
      <c r="E52" s="226"/>
      <c r="F52" s="226"/>
      <c r="G52" s="226"/>
      <c r="H52" s="227"/>
      <c r="I52" s="46">
        <f>SUM(I46:I51)</f>
        <v>113293.55924</v>
      </c>
      <c r="J52" s="130">
        <f>I52*1.2465</f>
        <v>141220.42159265999</v>
      </c>
    </row>
    <row r="53" spans="1:12" ht="15.75" thickBot="1" x14ac:dyDescent="0.3">
      <c r="A53" s="228" t="s">
        <v>20</v>
      </c>
      <c r="B53" s="229"/>
      <c r="C53" s="229"/>
      <c r="D53" s="229"/>
      <c r="E53" s="229"/>
      <c r="F53" s="229"/>
      <c r="G53" s="229"/>
      <c r="H53" s="229"/>
      <c r="I53" s="229"/>
      <c r="J53" s="230"/>
    </row>
    <row r="54" spans="1:12" x14ac:dyDescent="0.25">
      <c r="A54" s="37">
        <v>8</v>
      </c>
      <c r="B54" s="213" t="s">
        <v>21</v>
      </c>
      <c r="C54" s="213"/>
      <c r="D54" s="220" t="s">
        <v>22</v>
      </c>
      <c r="E54" s="221"/>
      <c r="F54" s="221"/>
      <c r="G54" s="221"/>
      <c r="H54" s="221"/>
      <c r="I54" s="221"/>
      <c r="J54" s="222"/>
    </row>
    <row r="55" spans="1:12" ht="16.149999999999999" customHeight="1" x14ac:dyDescent="0.25">
      <c r="A55" s="32" t="s">
        <v>209</v>
      </c>
      <c r="B55" s="61" t="s">
        <v>90</v>
      </c>
      <c r="C55" s="60">
        <v>270501</v>
      </c>
      <c r="D55" s="38" t="s">
        <v>115</v>
      </c>
      <c r="E55" s="30" t="s">
        <v>103</v>
      </c>
      <c r="F55" s="35">
        <f>MEMORIA!D102</f>
        <v>2286.6999999999998</v>
      </c>
      <c r="G55" s="40">
        <v>1.8</v>
      </c>
      <c r="H55" s="40">
        <v>1.8</v>
      </c>
      <c r="I55" s="39">
        <f>(H55+G55)*F55</f>
        <v>8232.119999999999</v>
      </c>
      <c r="J55" s="128"/>
      <c r="L55" t="e">
        <f>(#REF!+#REF!+#REF!)/#REF!</f>
        <v>#REF!</v>
      </c>
    </row>
    <row r="56" spans="1:12" ht="15.75" thickBot="1" x14ac:dyDescent="0.3">
      <c r="A56" s="225" t="s">
        <v>11</v>
      </c>
      <c r="B56" s="226"/>
      <c r="C56" s="226"/>
      <c r="D56" s="226"/>
      <c r="E56" s="226"/>
      <c r="F56" s="226"/>
      <c r="G56" s="226"/>
      <c r="H56" s="227"/>
      <c r="I56" s="67">
        <f>I55</f>
        <v>8232.119999999999</v>
      </c>
      <c r="J56" s="130">
        <f>I56*1.2465</f>
        <v>10261.337579999998</v>
      </c>
    </row>
    <row r="57" spans="1:12" ht="15.75" thickBot="1" x14ac:dyDescent="0.3">
      <c r="B57"/>
      <c r="C57"/>
      <c r="D57"/>
      <c r="E57"/>
      <c r="F57" s="2"/>
      <c r="G57" s="2"/>
      <c r="H57" s="2"/>
      <c r="I57" s="2"/>
      <c r="L57" s="77" t="e">
        <f>J56/J58</f>
        <v>#DIV/0!</v>
      </c>
    </row>
    <row r="58" spans="1:12" x14ac:dyDescent="0.25">
      <c r="A58" s="256" t="s">
        <v>7</v>
      </c>
      <c r="B58" s="257"/>
      <c r="C58" s="257"/>
      <c r="D58" s="257"/>
      <c r="E58" s="257"/>
      <c r="F58" s="257"/>
      <c r="G58" s="257"/>
      <c r="H58" s="258"/>
      <c r="I58" s="134">
        <f>I56+I52+I43+I38+I32+I25+I19+I15</f>
        <v>605643.50956000015</v>
      </c>
      <c r="J58" s="135"/>
    </row>
    <row r="59" spans="1:12" x14ac:dyDescent="0.25">
      <c r="A59" s="250" t="s">
        <v>37</v>
      </c>
      <c r="B59" s="251"/>
      <c r="C59" s="251"/>
      <c r="D59" s="251"/>
      <c r="E59" s="251"/>
      <c r="F59" s="251"/>
      <c r="G59" s="251"/>
      <c r="H59" s="252"/>
      <c r="I59" s="136">
        <f>I58*0.2465</f>
        <v>149291.12510654004</v>
      </c>
      <c r="J59" s="137"/>
      <c r="K59" s="55"/>
    </row>
    <row r="60" spans="1:12" ht="15.75" thickBot="1" x14ac:dyDescent="0.3">
      <c r="A60" s="253" t="s">
        <v>23</v>
      </c>
      <c r="B60" s="254"/>
      <c r="C60" s="254"/>
      <c r="D60" s="254"/>
      <c r="E60" s="254"/>
      <c r="F60" s="254"/>
      <c r="G60" s="254"/>
      <c r="H60" s="255"/>
      <c r="I60" s="138">
        <f>I58+I59</f>
        <v>754934.63466654019</v>
      </c>
      <c r="J60" s="139"/>
    </row>
    <row r="63" spans="1:12" x14ac:dyDescent="0.25">
      <c r="I63" s="141"/>
    </row>
    <row r="64" spans="1:12" ht="28.9" customHeight="1" x14ac:dyDescent="0.25">
      <c r="B64" s="223" t="s">
        <v>36</v>
      </c>
      <c r="C64" s="223"/>
      <c r="D64" s="223"/>
    </row>
    <row r="65" spans="10:10" x14ac:dyDescent="0.25">
      <c r="J65" s="142"/>
    </row>
  </sheetData>
  <mergeCells count="53">
    <mergeCell ref="A60:H60"/>
    <mergeCell ref="A58:H58"/>
    <mergeCell ref="B28:C28"/>
    <mergeCell ref="B29:C29"/>
    <mergeCell ref="B30:C30"/>
    <mergeCell ref="B35:C35"/>
    <mergeCell ref="G28:H28"/>
    <mergeCell ref="G29:H29"/>
    <mergeCell ref="G30:H30"/>
    <mergeCell ref="B31:C31"/>
    <mergeCell ref="G31:H31"/>
    <mergeCell ref="B54:C54"/>
    <mergeCell ref="A38:H38"/>
    <mergeCell ref="A33:J33"/>
    <mergeCell ref="A1:J1"/>
    <mergeCell ref="A2:J2"/>
    <mergeCell ref="A3:J3"/>
    <mergeCell ref="A4:J4"/>
    <mergeCell ref="A59:H59"/>
    <mergeCell ref="A20:J20"/>
    <mergeCell ref="A5:J5"/>
    <mergeCell ref="A19:H19"/>
    <mergeCell ref="B7:C7"/>
    <mergeCell ref="A8:J8"/>
    <mergeCell ref="B9:C9"/>
    <mergeCell ref="D9:J9"/>
    <mergeCell ref="A16:J16"/>
    <mergeCell ref="B17:C17"/>
    <mergeCell ref="D17:J17"/>
    <mergeCell ref="A6:J6"/>
    <mergeCell ref="A15:H15"/>
    <mergeCell ref="B64:D64"/>
    <mergeCell ref="D21:J21"/>
    <mergeCell ref="B34:C34"/>
    <mergeCell ref="D34:J34"/>
    <mergeCell ref="A25:H25"/>
    <mergeCell ref="B21:C21"/>
    <mergeCell ref="A52:H52"/>
    <mergeCell ref="A53:J53"/>
    <mergeCell ref="A39:J39"/>
    <mergeCell ref="B40:C40"/>
    <mergeCell ref="A43:H43"/>
    <mergeCell ref="D40:J40"/>
    <mergeCell ref="D54:J54"/>
    <mergeCell ref="A44:J44"/>
    <mergeCell ref="A56:H56"/>
    <mergeCell ref="A26:J26"/>
    <mergeCell ref="B27:C27"/>
    <mergeCell ref="D27:J27"/>
    <mergeCell ref="A32:H32"/>
    <mergeCell ref="G35:H35"/>
    <mergeCell ref="B45:C45"/>
    <mergeCell ref="D45:J45"/>
  </mergeCells>
  <phoneticPr fontId="8" type="noConversion"/>
  <pageMargins left="0.511811024" right="0.511811024" top="0.78740157499999996" bottom="0.78740157499999996" header="0.31496062000000002" footer="0.31496062000000002"/>
  <pageSetup paperSize="9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39" sqref="F39"/>
    </sheetView>
  </sheetViews>
  <sheetFormatPr defaultRowHeight="15" x14ac:dyDescent="0.25"/>
  <cols>
    <col min="1" max="1" width="10.7109375" customWidth="1"/>
    <col min="2" max="2" width="14" bestFit="1" customWidth="1"/>
    <col min="3" max="3" width="7" bestFit="1" customWidth="1"/>
    <col min="4" max="4" width="60.5703125" customWidth="1"/>
    <col min="5" max="5" width="7.42578125" bestFit="1" customWidth="1"/>
    <col min="6" max="6" width="10.140625" style="151" bestFit="1" customWidth="1"/>
    <col min="7" max="7" width="10" style="55" bestFit="1" customWidth="1"/>
    <col min="8" max="8" width="10.85546875" style="55" bestFit="1" customWidth="1"/>
    <col min="9" max="9" width="12.42578125" style="55" bestFit="1" customWidth="1"/>
  </cols>
  <sheetData>
    <row r="1" spans="1:9" x14ac:dyDescent="0.25">
      <c r="A1" s="247"/>
      <c r="B1" s="248"/>
      <c r="C1" s="248"/>
      <c r="D1" s="248"/>
      <c r="E1" s="248"/>
      <c r="F1" s="248"/>
      <c r="G1" s="248"/>
      <c r="H1" s="248"/>
      <c r="I1" s="249"/>
    </row>
    <row r="2" spans="1:9" x14ac:dyDescent="0.25">
      <c r="A2" s="234" t="s">
        <v>134</v>
      </c>
      <c r="B2" s="235"/>
      <c r="C2" s="235"/>
      <c r="D2" s="235"/>
      <c r="E2" s="235"/>
      <c r="F2" s="235"/>
      <c r="G2" s="235"/>
      <c r="H2" s="235"/>
      <c r="I2" s="236"/>
    </row>
    <row r="3" spans="1:9" x14ac:dyDescent="0.25">
      <c r="A3" s="234" t="str">
        <f>ORÇAMENTO!A3</f>
        <v>REFORMA DA UNIDADE DE PRONTO ATENDIMENTO DR. JAMIL SEBBA</v>
      </c>
      <c r="B3" s="235"/>
      <c r="C3" s="235"/>
      <c r="D3" s="235"/>
      <c r="E3" s="235"/>
      <c r="F3" s="235"/>
      <c r="G3" s="235"/>
      <c r="H3" s="235"/>
      <c r="I3" s="236"/>
    </row>
    <row r="4" spans="1:9" x14ac:dyDescent="0.25">
      <c r="A4" s="234" t="str">
        <f>[2]ORÇAMENTO!A4</f>
        <v>TABELA DE CUSTOS DE OBRAS CIVIS - T243 - Fevereiro/2024 - COM DESONERAÇÃO</v>
      </c>
      <c r="B4" s="235"/>
      <c r="C4" s="235"/>
      <c r="D4" s="235"/>
      <c r="E4" s="235"/>
      <c r="F4" s="235"/>
      <c r="G4" s="235"/>
      <c r="H4" s="235"/>
      <c r="I4" s="236"/>
    </row>
    <row r="5" spans="1:9" x14ac:dyDescent="0.25">
      <c r="A5" s="234" t="str">
        <f>ORÇAMENTO!A5</f>
        <v>COTAÇÃO DE MERCADO</v>
      </c>
      <c r="B5" s="235"/>
      <c r="C5" s="235"/>
      <c r="D5" s="235"/>
      <c r="E5" s="235"/>
      <c r="F5" s="235"/>
      <c r="G5" s="235"/>
      <c r="H5" s="235"/>
      <c r="I5" s="236"/>
    </row>
    <row r="6" spans="1:9" ht="15.75" thickBot="1" x14ac:dyDescent="0.3">
      <c r="A6" s="267"/>
      <c r="B6" s="268"/>
      <c r="C6" s="268"/>
      <c r="D6" s="268"/>
      <c r="E6" s="268"/>
      <c r="F6" s="268"/>
      <c r="G6" s="268"/>
      <c r="H6" s="268"/>
      <c r="I6" s="269"/>
    </row>
    <row r="7" spans="1:9" ht="15.75" thickBot="1" x14ac:dyDescent="0.3">
      <c r="A7" s="143" t="s">
        <v>135</v>
      </c>
      <c r="B7" s="264" t="str">
        <f>ORÇAMENTO!D28</f>
        <v>RECUPERAÇÃO DE PORTAS 80x210</v>
      </c>
      <c r="C7" s="264"/>
      <c r="D7" s="264"/>
      <c r="E7" s="264"/>
      <c r="F7" s="264"/>
      <c r="G7" s="264"/>
      <c r="H7" s="264"/>
      <c r="I7" s="265"/>
    </row>
    <row r="8" spans="1:9" x14ac:dyDescent="0.25">
      <c r="A8" s="144" t="s">
        <v>136</v>
      </c>
      <c r="B8" s="270" t="s">
        <v>137</v>
      </c>
      <c r="C8" s="270"/>
      <c r="D8" s="145" t="s">
        <v>138</v>
      </c>
      <c r="E8" s="146" t="s">
        <v>139</v>
      </c>
      <c r="F8" s="150" t="s">
        <v>140</v>
      </c>
      <c r="G8" s="148" t="s">
        <v>141</v>
      </c>
      <c r="H8" s="148" t="s">
        <v>142</v>
      </c>
      <c r="I8" s="149" t="s">
        <v>143</v>
      </c>
    </row>
    <row r="9" spans="1:9" x14ac:dyDescent="0.25">
      <c r="A9" t="s">
        <v>86</v>
      </c>
      <c r="B9" t="s">
        <v>144</v>
      </c>
      <c r="C9">
        <v>261501</v>
      </c>
      <c r="D9" t="s">
        <v>146</v>
      </c>
      <c r="E9" t="s">
        <v>103</v>
      </c>
      <c r="F9" s="151">
        <f>(0.8*0.8)+(0.8*20)</f>
        <v>16.64</v>
      </c>
      <c r="G9" s="55">
        <v>8.77</v>
      </c>
      <c r="H9" s="55">
        <v>10.07</v>
      </c>
      <c r="I9" s="55">
        <f>(G9+H9)*F9</f>
        <v>313.49760000000003</v>
      </c>
    </row>
    <row r="10" spans="1:9" x14ac:dyDescent="0.25">
      <c r="A10" s="113" t="s">
        <v>87</v>
      </c>
      <c r="B10" s="113" t="s">
        <v>144</v>
      </c>
      <c r="C10">
        <v>261560</v>
      </c>
      <c r="D10" t="s">
        <v>147</v>
      </c>
      <c r="E10" t="s">
        <v>79</v>
      </c>
      <c r="F10" s="151">
        <f>(0.8*2.1)*3</f>
        <v>5.0400000000000009</v>
      </c>
      <c r="G10" s="55">
        <v>6.4</v>
      </c>
      <c r="H10" s="55">
        <v>12.93</v>
      </c>
      <c r="I10" s="55">
        <f t="shared" ref="I10:I14" si="0">(G10+H10)*F10</f>
        <v>97.423200000000008</v>
      </c>
    </row>
    <row r="11" spans="1:9" s="113" customFormat="1" x14ac:dyDescent="0.25">
      <c r="A11" s="113" t="s">
        <v>88</v>
      </c>
      <c r="B11" s="113" t="s">
        <v>144</v>
      </c>
      <c r="C11" s="113">
        <v>230202</v>
      </c>
      <c r="D11" s="113" t="s">
        <v>174</v>
      </c>
      <c r="E11" s="113" t="s">
        <v>175</v>
      </c>
      <c r="F11" s="151">
        <v>3</v>
      </c>
      <c r="G11" s="55">
        <v>7.82</v>
      </c>
      <c r="H11" s="55">
        <v>8.15</v>
      </c>
      <c r="I11" s="55">
        <f t="shared" si="0"/>
        <v>47.910000000000004</v>
      </c>
    </row>
    <row r="12" spans="1:9" x14ac:dyDescent="0.25">
      <c r="A12" s="113" t="s">
        <v>89</v>
      </c>
      <c r="B12" t="s">
        <v>145</v>
      </c>
      <c r="C12">
        <v>2383</v>
      </c>
      <c r="D12" t="s">
        <v>151</v>
      </c>
      <c r="E12" t="s">
        <v>152</v>
      </c>
      <c r="F12" s="151">
        <v>2</v>
      </c>
      <c r="G12" s="55">
        <v>1.32</v>
      </c>
      <c r="I12" s="55">
        <f t="shared" si="0"/>
        <v>2.64</v>
      </c>
    </row>
    <row r="13" spans="1:9" x14ac:dyDescent="0.25">
      <c r="A13" s="113" t="s">
        <v>179</v>
      </c>
      <c r="B13" s="113" t="s">
        <v>154</v>
      </c>
      <c r="C13">
        <v>24</v>
      </c>
      <c r="D13" t="s">
        <v>157</v>
      </c>
      <c r="E13" t="s">
        <v>153</v>
      </c>
      <c r="F13" s="151">
        <v>4</v>
      </c>
      <c r="H13" s="55">
        <v>19.22</v>
      </c>
      <c r="I13" s="55">
        <f t="shared" si="0"/>
        <v>76.88</v>
      </c>
    </row>
    <row r="14" spans="1:9" x14ac:dyDescent="0.25">
      <c r="A14" s="113" t="s">
        <v>180</v>
      </c>
      <c r="B14" s="113" t="s">
        <v>154</v>
      </c>
      <c r="C14">
        <v>5</v>
      </c>
      <c r="D14" t="s">
        <v>155</v>
      </c>
      <c r="E14" t="s">
        <v>156</v>
      </c>
      <c r="F14" s="151">
        <v>2</v>
      </c>
      <c r="H14" s="55">
        <v>12.06</v>
      </c>
      <c r="I14" s="55">
        <f t="shared" si="0"/>
        <v>24.12</v>
      </c>
    </row>
    <row r="15" spans="1:9" ht="15.75" thickBot="1" x14ac:dyDescent="0.3">
      <c r="A15" s="263" t="s">
        <v>118</v>
      </c>
      <c r="B15" s="263"/>
      <c r="C15" s="263"/>
      <c r="D15" s="263"/>
      <c r="E15" s="263"/>
      <c r="F15" s="263"/>
      <c r="G15" s="263"/>
      <c r="H15" s="263"/>
      <c r="I15" s="152">
        <f>SUM(I9:I14)</f>
        <v>562.47080000000005</v>
      </c>
    </row>
    <row r="16" spans="1:9" ht="24.75" customHeight="1" thickBot="1" x14ac:dyDescent="0.3">
      <c r="A16" s="143" t="str">
        <f>ORÇAMENTO!B29</f>
        <v>COMP. 02</v>
      </c>
      <c r="B16" s="264" t="str">
        <f>ORÇAMENTO!D29</f>
        <v>RECUPERAÇÃO DE PORTAS 90x210</v>
      </c>
      <c r="C16" s="264"/>
      <c r="D16" s="264"/>
      <c r="E16" s="264"/>
      <c r="F16" s="264"/>
      <c r="G16" s="264"/>
      <c r="H16" s="264"/>
      <c r="I16" s="265"/>
    </row>
    <row r="17" spans="1:9" x14ac:dyDescent="0.25">
      <c r="A17" s="144" t="s">
        <v>136</v>
      </c>
      <c r="B17" s="270" t="s">
        <v>137</v>
      </c>
      <c r="C17" s="270"/>
      <c r="D17" s="145" t="s">
        <v>138</v>
      </c>
      <c r="E17" s="146" t="s">
        <v>139</v>
      </c>
      <c r="F17" s="150" t="s">
        <v>140</v>
      </c>
      <c r="G17" s="148" t="s">
        <v>141</v>
      </c>
      <c r="H17" s="148" t="s">
        <v>142</v>
      </c>
      <c r="I17" s="149" t="s">
        <v>143</v>
      </c>
    </row>
    <row r="18" spans="1:9" x14ac:dyDescent="0.25">
      <c r="A18" s="113" t="s">
        <v>128</v>
      </c>
      <c r="B18" s="113" t="s">
        <v>144</v>
      </c>
      <c r="C18" s="113">
        <v>261501</v>
      </c>
      <c r="D18" s="113" t="s">
        <v>146</v>
      </c>
      <c r="E18" s="113" t="s">
        <v>103</v>
      </c>
      <c r="F18" s="151">
        <f>(0.9*0.8)+(0.9*20)</f>
        <v>18.72</v>
      </c>
      <c r="G18" s="55">
        <v>8.77</v>
      </c>
      <c r="H18" s="55">
        <v>10.07</v>
      </c>
      <c r="I18" s="55">
        <f>(G18+H18)*F18</f>
        <v>352.6848</v>
      </c>
    </row>
    <row r="19" spans="1:9" x14ac:dyDescent="0.25">
      <c r="A19" s="113" t="s">
        <v>177</v>
      </c>
      <c r="B19" s="113" t="s">
        <v>144</v>
      </c>
      <c r="C19" s="113">
        <v>261560</v>
      </c>
      <c r="D19" s="113" t="s">
        <v>147</v>
      </c>
      <c r="E19" s="113" t="s">
        <v>79</v>
      </c>
      <c r="F19" s="151">
        <f>(0.9*2.1)*3</f>
        <v>5.67</v>
      </c>
      <c r="G19" s="55">
        <v>6.4</v>
      </c>
      <c r="H19" s="55">
        <v>12.93</v>
      </c>
      <c r="I19" s="55">
        <f t="shared" ref="I19:I23" si="1">(G19+H19)*F19</f>
        <v>109.60109999999999</v>
      </c>
    </row>
    <row r="20" spans="1:9" s="113" customFormat="1" x14ac:dyDescent="0.25">
      <c r="A20" s="113" t="s">
        <v>88</v>
      </c>
      <c r="B20" s="113" t="s">
        <v>144</v>
      </c>
      <c r="C20" s="113">
        <v>230202</v>
      </c>
      <c r="D20" s="113" t="s">
        <v>174</v>
      </c>
      <c r="E20" s="113" t="s">
        <v>175</v>
      </c>
      <c r="F20" s="151">
        <v>3</v>
      </c>
      <c r="G20" s="55">
        <v>7.82</v>
      </c>
      <c r="H20" s="55">
        <v>8.15</v>
      </c>
      <c r="I20" s="55">
        <f t="shared" si="1"/>
        <v>47.910000000000004</v>
      </c>
    </row>
    <row r="21" spans="1:9" x14ac:dyDescent="0.25">
      <c r="A21" s="113" t="s">
        <v>181</v>
      </c>
      <c r="B21" s="113" t="s">
        <v>145</v>
      </c>
      <c r="C21" s="113">
        <v>2383</v>
      </c>
      <c r="D21" s="113" t="s">
        <v>151</v>
      </c>
      <c r="E21" s="113" t="s">
        <v>152</v>
      </c>
      <c r="F21" s="151">
        <v>3</v>
      </c>
      <c r="G21" s="266">
        <v>1.32</v>
      </c>
      <c r="H21" s="266"/>
      <c r="I21" s="55">
        <f t="shared" si="1"/>
        <v>3.96</v>
      </c>
    </row>
    <row r="22" spans="1:9" x14ac:dyDescent="0.25">
      <c r="A22" s="113" t="s">
        <v>182</v>
      </c>
      <c r="B22" s="113" t="s">
        <v>154</v>
      </c>
      <c r="C22" s="113">
        <v>24</v>
      </c>
      <c r="D22" s="113" t="s">
        <v>157</v>
      </c>
      <c r="E22" s="113" t="s">
        <v>153</v>
      </c>
      <c r="F22" s="151">
        <v>4.5</v>
      </c>
      <c r="H22" s="55">
        <v>19.22</v>
      </c>
      <c r="I22" s="55">
        <f>(G22+H22)*F22</f>
        <v>86.49</v>
      </c>
    </row>
    <row r="23" spans="1:9" x14ac:dyDescent="0.25">
      <c r="A23" s="113" t="s">
        <v>183</v>
      </c>
      <c r="B23" s="113" t="s">
        <v>154</v>
      </c>
      <c r="C23" s="113">
        <v>5</v>
      </c>
      <c r="D23" s="113" t="s">
        <v>155</v>
      </c>
      <c r="E23" s="113" t="s">
        <v>156</v>
      </c>
      <c r="F23" s="151">
        <v>2.25</v>
      </c>
      <c r="H23" s="55">
        <v>12.06</v>
      </c>
      <c r="I23" s="55">
        <f t="shared" si="1"/>
        <v>27.135000000000002</v>
      </c>
    </row>
    <row r="24" spans="1:9" ht="15.75" thickBot="1" x14ac:dyDescent="0.3">
      <c r="A24" s="263" t="s">
        <v>118</v>
      </c>
      <c r="B24" s="263"/>
      <c r="C24" s="263"/>
      <c r="D24" s="263"/>
      <c r="E24" s="263"/>
      <c r="F24" s="263"/>
      <c r="G24" s="263"/>
      <c r="H24" s="263"/>
      <c r="I24" s="152">
        <f>SUM(I18:I23)</f>
        <v>627.78089999999997</v>
      </c>
    </row>
    <row r="25" spans="1:9" ht="15.75" thickBot="1" x14ac:dyDescent="0.3">
      <c r="A25" s="143" t="str">
        <f>ORÇAMENTO!B30</f>
        <v>COMP. 03</v>
      </c>
      <c r="B25" s="264" t="str">
        <f>ORÇAMENTO!D30</f>
        <v>RECUPERAÇÃO DE PORTAS 110x210</v>
      </c>
      <c r="C25" s="264"/>
      <c r="D25" s="264"/>
      <c r="E25" s="264"/>
      <c r="F25" s="264"/>
      <c r="G25" s="264"/>
      <c r="H25" s="264"/>
      <c r="I25" s="265"/>
    </row>
    <row r="26" spans="1:9" x14ac:dyDescent="0.25">
      <c r="A26" s="144" t="s">
        <v>136</v>
      </c>
      <c r="B26" s="270" t="s">
        <v>137</v>
      </c>
      <c r="C26" s="270"/>
      <c r="D26" s="145" t="s">
        <v>138</v>
      </c>
      <c r="E26" s="146" t="s">
        <v>139</v>
      </c>
      <c r="F26" s="150" t="s">
        <v>140</v>
      </c>
      <c r="G26" s="148" t="s">
        <v>141</v>
      </c>
      <c r="H26" s="148" t="s">
        <v>142</v>
      </c>
      <c r="I26" s="149" t="s">
        <v>143</v>
      </c>
    </row>
    <row r="27" spans="1:9" x14ac:dyDescent="0.25">
      <c r="A27" s="113" t="s">
        <v>129</v>
      </c>
      <c r="B27" s="113" t="s">
        <v>144</v>
      </c>
      <c r="C27" s="113">
        <v>261501</v>
      </c>
      <c r="D27" s="113" t="s">
        <v>146</v>
      </c>
      <c r="E27" s="113" t="s">
        <v>103</v>
      </c>
      <c r="F27" s="151">
        <f>(1.1*0.8)+(1.1*20)</f>
        <v>22.88</v>
      </c>
      <c r="G27" s="55">
        <v>8.77</v>
      </c>
      <c r="H27" s="55">
        <v>10.07</v>
      </c>
      <c r="I27" s="55">
        <f>(G27+H27)*F27</f>
        <v>431.05919999999998</v>
      </c>
    </row>
    <row r="28" spans="1:9" x14ac:dyDescent="0.25">
      <c r="A28" s="113" t="s">
        <v>130</v>
      </c>
      <c r="B28" s="113" t="s">
        <v>144</v>
      </c>
      <c r="C28" s="113">
        <v>261560</v>
      </c>
      <c r="D28" s="113" t="s">
        <v>147</v>
      </c>
      <c r="E28" s="113" t="s">
        <v>79</v>
      </c>
      <c r="F28" s="151">
        <f>(1.1*2.1)*3</f>
        <v>6.9300000000000015</v>
      </c>
      <c r="G28" s="55">
        <v>6.4</v>
      </c>
      <c r="H28" s="55">
        <v>12.93</v>
      </c>
      <c r="I28" s="55">
        <f t="shared" ref="I28:I32" si="2">(G28+H28)*F28</f>
        <v>133.95690000000002</v>
      </c>
    </row>
    <row r="29" spans="1:9" s="113" customFormat="1" x14ac:dyDescent="0.25">
      <c r="A29" s="113" t="s">
        <v>88</v>
      </c>
      <c r="B29" s="113" t="s">
        <v>144</v>
      </c>
      <c r="C29" s="113">
        <v>230202</v>
      </c>
      <c r="D29" s="113" t="s">
        <v>174</v>
      </c>
      <c r="E29" s="113" t="s">
        <v>175</v>
      </c>
      <c r="F29" s="151">
        <v>3</v>
      </c>
      <c r="G29" s="55">
        <v>7.82</v>
      </c>
      <c r="H29" s="55">
        <v>8.15</v>
      </c>
      <c r="I29" s="55">
        <f t="shared" si="2"/>
        <v>47.910000000000004</v>
      </c>
    </row>
    <row r="30" spans="1:9" x14ac:dyDescent="0.25">
      <c r="A30" s="113" t="s">
        <v>131</v>
      </c>
      <c r="B30" s="113" t="s">
        <v>145</v>
      </c>
      <c r="C30" s="113">
        <v>2383</v>
      </c>
      <c r="D30" s="113" t="s">
        <v>151</v>
      </c>
      <c r="E30" s="113" t="s">
        <v>152</v>
      </c>
      <c r="F30" s="151">
        <v>4</v>
      </c>
      <c r="G30" s="55">
        <v>1.32</v>
      </c>
      <c r="I30" s="55">
        <f t="shared" si="2"/>
        <v>5.28</v>
      </c>
    </row>
    <row r="31" spans="1:9" x14ac:dyDescent="0.25">
      <c r="A31" s="113" t="s">
        <v>185</v>
      </c>
      <c r="B31" s="113" t="s">
        <v>154</v>
      </c>
      <c r="C31" s="113">
        <v>24</v>
      </c>
      <c r="D31" s="113" t="s">
        <v>157</v>
      </c>
      <c r="E31" s="113" t="s">
        <v>153</v>
      </c>
      <c r="F31" s="151">
        <v>5</v>
      </c>
      <c r="H31" s="55">
        <v>19.22</v>
      </c>
      <c r="I31" s="55">
        <f t="shared" si="2"/>
        <v>96.1</v>
      </c>
    </row>
    <row r="32" spans="1:9" x14ac:dyDescent="0.25">
      <c r="A32" s="113" t="s">
        <v>186</v>
      </c>
      <c r="B32" s="113" t="s">
        <v>154</v>
      </c>
      <c r="C32" s="113">
        <v>5</v>
      </c>
      <c r="D32" s="113" t="s">
        <v>155</v>
      </c>
      <c r="E32" s="113" t="s">
        <v>156</v>
      </c>
      <c r="F32" s="151">
        <v>2.5</v>
      </c>
      <c r="H32" s="55">
        <v>12.06</v>
      </c>
      <c r="I32" s="55">
        <f t="shared" si="2"/>
        <v>30.150000000000002</v>
      </c>
    </row>
    <row r="33" spans="1:9" ht="15.75" thickBot="1" x14ac:dyDescent="0.3">
      <c r="A33" s="263" t="s">
        <v>118</v>
      </c>
      <c r="B33" s="263"/>
      <c r="C33" s="263"/>
      <c r="D33" s="263"/>
      <c r="E33" s="263"/>
      <c r="F33" s="263"/>
      <c r="G33" s="263"/>
      <c r="H33" s="263"/>
      <c r="I33" s="152">
        <f>SUM(I27:I32)</f>
        <v>744.45609999999999</v>
      </c>
    </row>
    <row r="34" spans="1:9" s="113" customFormat="1" ht="15.75" thickBot="1" x14ac:dyDescent="0.3">
      <c r="A34" s="143" t="str">
        <f>ORÇAMENTO!B31</f>
        <v>COMP. 04</v>
      </c>
      <c r="B34" s="264" t="str">
        <f>ORÇAMENTO!D31</f>
        <v>RECUPERAÇÃO DE PORTAS 150x210 - VAI E VEM</v>
      </c>
      <c r="C34" s="264"/>
      <c r="D34" s="264"/>
      <c r="E34" s="264"/>
      <c r="F34" s="264"/>
      <c r="G34" s="264"/>
      <c r="H34" s="264"/>
      <c r="I34" s="265"/>
    </row>
    <row r="35" spans="1:9" s="113" customFormat="1" x14ac:dyDescent="0.25">
      <c r="A35" s="144" t="s">
        <v>136</v>
      </c>
      <c r="B35" s="270" t="s">
        <v>137</v>
      </c>
      <c r="C35" s="270"/>
      <c r="D35" s="145" t="s">
        <v>138</v>
      </c>
      <c r="E35" s="146" t="s">
        <v>139</v>
      </c>
      <c r="F35" s="150" t="s">
        <v>140</v>
      </c>
      <c r="G35" s="148" t="s">
        <v>141</v>
      </c>
      <c r="H35" s="148" t="s">
        <v>142</v>
      </c>
      <c r="I35" s="149" t="s">
        <v>143</v>
      </c>
    </row>
    <row r="36" spans="1:9" s="113" customFormat="1" x14ac:dyDescent="0.25">
      <c r="A36" s="113" t="s">
        <v>169</v>
      </c>
      <c r="B36" s="113" t="s">
        <v>144</v>
      </c>
      <c r="C36" s="113">
        <v>261501</v>
      </c>
      <c r="D36" s="113" t="s">
        <v>146</v>
      </c>
      <c r="E36" s="113" t="s">
        <v>103</v>
      </c>
      <c r="F36" s="151">
        <f>(1.5*0.8)+(1.5*20)</f>
        <v>31.2</v>
      </c>
      <c r="G36" s="55">
        <v>8.77</v>
      </c>
      <c r="H36" s="55">
        <v>10.07</v>
      </c>
      <c r="I36" s="55">
        <f>(G36+H36)*F36</f>
        <v>587.80799999999999</v>
      </c>
    </row>
    <row r="37" spans="1:9" s="113" customFormat="1" x14ac:dyDescent="0.25">
      <c r="A37" s="113" t="s">
        <v>170</v>
      </c>
      <c r="B37" s="113" t="s">
        <v>144</v>
      </c>
      <c r="C37" s="113">
        <v>261560</v>
      </c>
      <c r="D37" s="113" t="s">
        <v>147</v>
      </c>
      <c r="E37" s="113" t="s">
        <v>79</v>
      </c>
      <c r="F37" s="151">
        <f>(1.5*2.1)*3</f>
        <v>9.4500000000000011</v>
      </c>
      <c r="G37" s="55">
        <v>6.4</v>
      </c>
      <c r="H37" s="55">
        <v>12.93</v>
      </c>
      <c r="I37" s="55">
        <f t="shared" ref="I37:I41" si="3">(G37+H37)*F37</f>
        <v>182.66849999999999</v>
      </c>
    </row>
    <row r="38" spans="1:9" s="113" customFormat="1" x14ac:dyDescent="0.25">
      <c r="A38" s="113" t="s">
        <v>171</v>
      </c>
      <c r="B38" s="113" t="s">
        <v>144</v>
      </c>
      <c r="C38" s="113">
        <v>230202</v>
      </c>
      <c r="D38" s="113" t="s">
        <v>174</v>
      </c>
      <c r="E38" s="113" t="s">
        <v>175</v>
      </c>
      <c r="F38" s="151">
        <v>6</v>
      </c>
      <c r="G38" s="55">
        <v>7.82</v>
      </c>
      <c r="H38" s="55">
        <v>8.15</v>
      </c>
      <c r="I38" s="55">
        <f t="shared" si="3"/>
        <v>95.820000000000007</v>
      </c>
    </row>
    <row r="39" spans="1:9" s="113" customFormat="1" x14ac:dyDescent="0.25">
      <c r="A39" s="113" t="s">
        <v>178</v>
      </c>
      <c r="B39" s="113" t="s">
        <v>145</v>
      </c>
      <c r="C39" s="113">
        <v>2383</v>
      </c>
      <c r="D39" s="113" t="s">
        <v>151</v>
      </c>
      <c r="E39" s="113" t="s">
        <v>152</v>
      </c>
      <c r="F39" s="151">
        <v>5</v>
      </c>
      <c r="G39" s="55">
        <v>1.32</v>
      </c>
      <c r="H39" s="55"/>
      <c r="I39" s="55">
        <f t="shared" si="3"/>
        <v>6.6000000000000005</v>
      </c>
    </row>
    <row r="40" spans="1:9" s="113" customFormat="1" x14ac:dyDescent="0.25">
      <c r="A40" s="113" t="s">
        <v>211</v>
      </c>
      <c r="B40" s="113" t="s">
        <v>154</v>
      </c>
      <c r="C40" s="113">
        <v>24</v>
      </c>
      <c r="D40" s="113" t="s">
        <v>157</v>
      </c>
      <c r="E40" s="113" t="s">
        <v>153</v>
      </c>
      <c r="F40" s="151">
        <v>5.5</v>
      </c>
      <c r="G40" s="55"/>
      <c r="H40" s="55">
        <v>19.22</v>
      </c>
      <c r="I40" s="55">
        <f t="shared" si="3"/>
        <v>105.71</v>
      </c>
    </row>
    <row r="41" spans="1:9" s="113" customFormat="1" x14ac:dyDescent="0.25">
      <c r="A41" s="113" t="s">
        <v>212</v>
      </c>
      <c r="B41" s="113" t="s">
        <v>154</v>
      </c>
      <c r="C41" s="113">
        <v>5</v>
      </c>
      <c r="D41" s="113" t="s">
        <v>155</v>
      </c>
      <c r="E41" s="113" t="s">
        <v>156</v>
      </c>
      <c r="F41" s="151">
        <v>3</v>
      </c>
      <c r="G41" s="55"/>
      <c r="H41" s="55">
        <v>12.06</v>
      </c>
      <c r="I41" s="55">
        <f t="shared" si="3"/>
        <v>36.18</v>
      </c>
    </row>
    <row r="42" spans="1:9" s="113" customFormat="1" ht="15.75" thickBot="1" x14ac:dyDescent="0.3">
      <c r="A42" s="263" t="s">
        <v>118</v>
      </c>
      <c r="B42" s="263"/>
      <c r="C42" s="263"/>
      <c r="D42" s="263"/>
      <c r="E42" s="263"/>
      <c r="F42" s="263"/>
      <c r="G42" s="263"/>
      <c r="H42" s="263"/>
      <c r="I42" s="152">
        <f>SUM(I36:I41)</f>
        <v>1014.7865</v>
      </c>
    </row>
    <row r="43" spans="1:9" ht="15.75" thickBot="1" x14ac:dyDescent="0.3">
      <c r="A43" s="143" t="str">
        <f>ORÇAMENTO!B35</f>
        <v>COMP. 05</v>
      </c>
      <c r="B43" s="264" t="str">
        <f>ORÇAMENTO!D35</f>
        <v>PISO PORCELANATO ACETINADO 1,20X1,20</v>
      </c>
      <c r="C43" s="264"/>
      <c r="D43" s="264"/>
      <c r="E43" s="264"/>
      <c r="F43" s="264"/>
      <c r="G43" s="264"/>
      <c r="H43" s="264"/>
      <c r="I43" s="265"/>
    </row>
    <row r="44" spans="1:9" x14ac:dyDescent="0.25">
      <c r="A44" s="144" t="s">
        <v>136</v>
      </c>
      <c r="B44" s="270" t="s">
        <v>137</v>
      </c>
      <c r="C44" s="270"/>
      <c r="D44" s="145" t="s">
        <v>138</v>
      </c>
      <c r="E44" s="146" t="s">
        <v>139</v>
      </c>
      <c r="F44" s="150" t="s">
        <v>140</v>
      </c>
      <c r="G44" s="148" t="s">
        <v>141</v>
      </c>
      <c r="H44" s="148" t="s">
        <v>142</v>
      </c>
      <c r="I44" s="149" t="s">
        <v>143</v>
      </c>
    </row>
    <row r="45" spans="1:9" x14ac:dyDescent="0.25">
      <c r="A45" s="113" t="s">
        <v>172</v>
      </c>
      <c r="B45" s="271" t="s">
        <v>165</v>
      </c>
      <c r="C45" s="271"/>
      <c r="D45" s="113" t="s">
        <v>160</v>
      </c>
      <c r="E45" s="113" t="s">
        <v>103</v>
      </c>
      <c r="F45" s="151">
        <v>1</v>
      </c>
      <c r="G45" s="55">
        <f>(79.72+ 132.2+82.71)/3</f>
        <v>98.21</v>
      </c>
      <c r="I45" s="55">
        <f>F45*G45</f>
        <v>98.21</v>
      </c>
    </row>
    <row r="46" spans="1:9" ht="20.25" customHeight="1" x14ac:dyDescent="0.25">
      <c r="A46" s="113" t="s">
        <v>173</v>
      </c>
      <c r="B46" s="113" t="s">
        <v>145</v>
      </c>
      <c r="C46" s="3">
        <v>2390</v>
      </c>
      <c r="D46" s="3" t="s">
        <v>162</v>
      </c>
      <c r="E46" s="113" t="s">
        <v>161</v>
      </c>
      <c r="F46" s="151">
        <v>7.5</v>
      </c>
      <c r="G46" s="55">
        <v>1.29</v>
      </c>
      <c r="I46" s="55">
        <f>F46*(G46+H46)</f>
        <v>9.6750000000000007</v>
      </c>
    </row>
    <row r="47" spans="1:9" x14ac:dyDescent="0.25">
      <c r="A47" s="113" t="s">
        <v>213</v>
      </c>
      <c r="B47" s="113" t="s">
        <v>145</v>
      </c>
      <c r="C47" s="3">
        <v>2690</v>
      </c>
      <c r="D47" s="3" t="s">
        <v>164</v>
      </c>
      <c r="E47" s="113" t="s">
        <v>163</v>
      </c>
      <c r="F47" s="151">
        <v>0.3</v>
      </c>
      <c r="G47" s="55">
        <v>7.64</v>
      </c>
      <c r="I47" s="55">
        <f>F47*(G47+H47)</f>
        <v>2.2919999999999998</v>
      </c>
    </row>
    <row r="48" spans="1:9" x14ac:dyDescent="0.25">
      <c r="A48" s="113" t="s">
        <v>214</v>
      </c>
      <c r="B48" s="113" t="s">
        <v>145</v>
      </c>
      <c r="C48" s="3">
        <v>5</v>
      </c>
      <c r="D48" s="113" t="s">
        <v>166</v>
      </c>
      <c r="E48" s="153" t="s">
        <v>168</v>
      </c>
      <c r="F48" s="151">
        <v>1.5</v>
      </c>
      <c r="H48" s="55">
        <v>11.87</v>
      </c>
      <c r="I48" s="55">
        <f>H48*F48</f>
        <v>17.805</v>
      </c>
    </row>
    <row r="49" spans="1:9" x14ac:dyDescent="0.25">
      <c r="A49" s="113" t="s">
        <v>176</v>
      </c>
      <c r="B49" s="113" t="s">
        <v>145</v>
      </c>
      <c r="C49" s="3">
        <v>28</v>
      </c>
      <c r="D49" s="113" t="s">
        <v>167</v>
      </c>
      <c r="E49" s="153" t="s">
        <v>168</v>
      </c>
      <c r="F49" s="151">
        <v>1</v>
      </c>
      <c r="H49" s="151">
        <v>19.22</v>
      </c>
      <c r="I49" s="55">
        <f>F49*H49</f>
        <v>19.22</v>
      </c>
    </row>
    <row r="50" spans="1:9" x14ac:dyDescent="0.25">
      <c r="A50" s="263" t="s">
        <v>118</v>
      </c>
      <c r="B50" s="263"/>
      <c r="C50" s="263"/>
      <c r="D50" s="263"/>
      <c r="E50" s="263"/>
      <c r="F50" s="263"/>
      <c r="G50" s="263"/>
      <c r="H50" s="263"/>
      <c r="I50" s="152">
        <f>SUM(I45:I49)</f>
        <v>147.202</v>
      </c>
    </row>
    <row r="51" spans="1:9" s="113" customFormat="1" x14ac:dyDescent="0.25">
      <c r="A51" s="159"/>
      <c r="B51" s="159"/>
      <c r="C51" s="159"/>
      <c r="D51" s="159"/>
      <c r="E51" s="159"/>
      <c r="F51" s="159"/>
      <c r="G51" s="159"/>
      <c r="H51" s="159"/>
      <c r="I51" s="152"/>
    </row>
    <row r="52" spans="1:9" s="113" customFormat="1" x14ac:dyDescent="0.25">
      <c r="A52" s="159"/>
      <c r="B52" s="159"/>
      <c r="C52" s="159"/>
      <c r="D52" s="159"/>
      <c r="E52" s="159"/>
      <c r="F52" s="159"/>
      <c r="G52" s="159"/>
      <c r="H52" s="159"/>
      <c r="I52" s="152"/>
    </row>
    <row r="53" spans="1:9" x14ac:dyDescent="0.25">
      <c r="D53" s="26"/>
      <c r="E53" s="63"/>
      <c r="F53" s="3"/>
    </row>
    <row r="54" spans="1:9" x14ac:dyDescent="0.25">
      <c r="D54" s="223" t="s">
        <v>36</v>
      </c>
      <c r="E54" s="223"/>
      <c r="F54" s="223"/>
    </row>
  </sheetData>
  <mergeCells count="24">
    <mergeCell ref="D54:F54"/>
    <mergeCell ref="B43:I43"/>
    <mergeCell ref="B44:C44"/>
    <mergeCell ref="A50:H50"/>
    <mergeCell ref="B45:C45"/>
    <mergeCell ref="B34:I34"/>
    <mergeCell ref="B35:C35"/>
    <mergeCell ref="A42:H42"/>
    <mergeCell ref="B26:C26"/>
    <mergeCell ref="A33:H33"/>
    <mergeCell ref="A24:H24"/>
    <mergeCell ref="B25:I25"/>
    <mergeCell ref="A1:I1"/>
    <mergeCell ref="A2:I2"/>
    <mergeCell ref="A3:I3"/>
    <mergeCell ref="A4:I4"/>
    <mergeCell ref="A5:I5"/>
    <mergeCell ref="G21:H21"/>
    <mergeCell ref="A6:I6"/>
    <mergeCell ref="B7:I7"/>
    <mergeCell ref="B8:C8"/>
    <mergeCell ref="A15:H15"/>
    <mergeCell ref="B16:I16"/>
    <mergeCell ref="B17:C17"/>
  </mergeCells>
  <pageMargins left="0.511811024" right="0.511811024" top="0.78740157499999996" bottom="0.78740157499999996" header="0.31496062000000002" footer="0.31496062000000002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5"/>
  <sheetViews>
    <sheetView topLeftCell="A52" zoomScale="130" zoomScaleNormal="130" workbookViewId="0">
      <selection activeCell="A95" sqref="A95:C95"/>
    </sheetView>
  </sheetViews>
  <sheetFormatPr defaultRowHeight="15" x14ac:dyDescent="0.25"/>
  <cols>
    <col min="1" max="1" width="6.28515625" style="2" bestFit="1" customWidth="1"/>
    <col min="2" max="2" width="89.140625" style="112" customWidth="1"/>
    <col min="3" max="3" width="6.85546875" style="2" bestFit="1" customWidth="1"/>
    <col min="4" max="4" width="22.5703125" style="119" bestFit="1" customWidth="1"/>
  </cols>
  <sheetData>
    <row r="1" spans="1:4" x14ac:dyDescent="0.25">
      <c r="A1" s="247"/>
      <c r="B1" s="248"/>
      <c r="C1" s="248"/>
      <c r="D1" s="249"/>
    </row>
    <row r="2" spans="1:4" x14ac:dyDescent="0.25">
      <c r="A2" s="234" t="s">
        <v>230</v>
      </c>
      <c r="B2" s="272"/>
      <c r="C2" s="272"/>
      <c r="D2" s="236"/>
    </row>
    <row r="3" spans="1:4" x14ac:dyDescent="0.25">
      <c r="A3" s="234" t="str">
        <f>ORÇAMENTO!A3</f>
        <v>REFORMA DA UNIDADE DE PRONTO ATENDIMENTO DR. JAMIL SEBBA</v>
      </c>
      <c r="B3" s="272"/>
      <c r="C3" s="272"/>
      <c r="D3" s="236"/>
    </row>
    <row r="4" spans="1:4" x14ac:dyDescent="0.25">
      <c r="A4" s="234" t="str">
        <f>ORÇAMENTO!A4</f>
        <v>TABELA DE CUSTOS DE OBRAS CIVIS - T243 - Fevereiro/2024 - COM DESONERAÇÃO</v>
      </c>
      <c r="B4" s="272"/>
      <c r="C4" s="272"/>
      <c r="D4" s="236"/>
    </row>
    <row r="5" spans="1:4" x14ac:dyDescent="0.25">
      <c r="A5" s="234" t="str">
        <f>ORÇAMENTO!A5</f>
        <v>COTAÇÃO DE MERCADO</v>
      </c>
      <c r="B5" s="272"/>
      <c r="C5" s="272"/>
      <c r="D5" s="236"/>
    </row>
    <row r="6" spans="1:4" ht="15.75" thickBot="1" x14ac:dyDescent="0.3">
      <c r="A6" s="234"/>
      <c r="B6" s="272"/>
      <c r="C6" s="272"/>
      <c r="D6" s="236"/>
    </row>
    <row r="7" spans="1:4" ht="15.75" thickBot="1" x14ac:dyDescent="0.3">
      <c r="A7" s="115">
        <v>1</v>
      </c>
      <c r="B7" s="120" t="s">
        <v>10</v>
      </c>
      <c r="C7" s="116"/>
      <c r="D7" s="123"/>
    </row>
    <row r="8" spans="1:4" ht="15.75" thickBot="1" x14ac:dyDescent="0.3">
      <c r="A8" s="160" t="s">
        <v>0</v>
      </c>
      <c r="B8" s="121" t="s">
        <v>2</v>
      </c>
      <c r="C8" s="114" t="s">
        <v>84</v>
      </c>
      <c r="D8" s="161" t="s">
        <v>85</v>
      </c>
    </row>
    <row r="9" spans="1:4" x14ac:dyDescent="0.25">
      <c r="A9" s="33" t="str">
        <f>ORÇAMENTO!A10</f>
        <v>1.1</v>
      </c>
      <c r="B9" s="122" t="str">
        <f>ORÇAMENTO!D10</f>
        <v xml:space="preserve">DEMOLIÇÃO MANUAL DE REVESTIMENTO COM ARGAMASSA COM TRANSPORTE ATÉ CAÇAMBA E CARGA </v>
      </c>
      <c r="C9" s="34" t="str">
        <f>ORÇAMENTO!E10</f>
        <v xml:space="preserve">m2    </v>
      </c>
      <c r="D9" s="124" t="s">
        <v>24</v>
      </c>
    </row>
    <row r="10" spans="1:4" s="113" customFormat="1" x14ac:dyDescent="0.25">
      <c r="A10" s="33"/>
      <c r="B10" s="122" t="s">
        <v>116</v>
      </c>
      <c r="C10" s="59"/>
      <c r="D10" s="125">
        <f>1080.2*0.07</f>
        <v>75.614000000000004</v>
      </c>
    </row>
    <row r="11" spans="1:4" s="113" customFormat="1" x14ac:dyDescent="0.25">
      <c r="A11" s="276" t="s">
        <v>118</v>
      </c>
      <c r="B11" s="277"/>
      <c r="C11" s="278"/>
      <c r="D11" s="126">
        <f>D10</f>
        <v>75.614000000000004</v>
      </c>
    </row>
    <row r="12" spans="1:4" ht="25.5" x14ac:dyDescent="0.25">
      <c r="A12" s="33" t="str">
        <f>ORÇAMENTO!A11</f>
        <v>1.2</v>
      </c>
      <c r="B12" s="122" t="str">
        <f>ORÇAMENTO!D11</f>
        <v>DEMOLIÇÃO MANUAL DE PISO CERÂMICO SOBRE LASTRO DE CONCRETO COM TRANSPORTE ATÉ CAÇAMBA E CARGA</v>
      </c>
      <c r="C12" s="34" t="str">
        <f>ORÇAMENTO!E11</f>
        <v xml:space="preserve">m2    </v>
      </c>
      <c r="D12" s="124" t="s">
        <v>24</v>
      </c>
    </row>
    <row r="13" spans="1:4" x14ac:dyDescent="0.25">
      <c r="A13" s="33"/>
      <c r="B13" s="122" t="s">
        <v>116</v>
      </c>
      <c r="C13" s="59"/>
      <c r="D13" s="125">
        <f>1080.2*0.07</f>
        <v>75.614000000000004</v>
      </c>
    </row>
    <row r="14" spans="1:4" s="113" customFormat="1" x14ac:dyDescent="0.25">
      <c r="A14" s="276" t="s">
        <v>118</v>
      </c>
      <c r="B14" s="277"/>
      <c r="C14" s="278"/>
      <c r="D14" s="126">
        <f>D13</f>
        <v>75.614000000000004</v>
      </c>
    </row>
    <row r="15" spans="1:4" x14ac:dyDescent="0.25">
      <c r="A15" s="33" t="str">
        <f>ORÇAMENTO!A12</f>
        <v>1.3</v>
      </c>
      <c r="B15" s="122" t="str">
        <f>ORÇAMENTO!D12</f>
        <v>DEMOLIÇÃO MANUAL DE CALHA/RUFO EM CHAPA COM TRANSPORTE ATÉ CAÇAMBA E CARGA</v>
      </c>
      <c r="C15" s="34" t="str">
        <f>ORÇAMENTO!E12</f>
        <v xml:space="preserve">m2    </v>
      </c>
      <c r="D15" s="124" t="s">
        <v>24</v>
      </c>
    </row>
    <row r="16" spans="1:4" x14ac:dyDescent="0.25">
      <c r="A16" s="33"/>
      <c r="B16" s="122" t="s">
        <v>119</v>
      </c>
      <c r="C16" s="59"/>
      <c r="D16" s="125">
        <f>(259*0.2)*0.2</f>
        <v>10.360000000000001</v>
      </c>
    </row>
    <row r="17" spans="1:4" x14ac:dyDescent="0.25">
      <c r="A17" s="276" t="s">
        <v>118</v>
      </c>
      <c r="B17" s="277"/>
      <c r="C17" s="278"/>
      <c r="D17" s="127">
        <f>D16</f>
        <v>10.360000000000001</v>
      </c>
    </row>
    <row r="18" spans="1:4" ht="25.5" x14ac:dyDescent="0.25">
      <c r="A18" s="33" t="str">
        <f>ORÇAMENTO!A13</f>
        <v>1.4</v>
      </c>
      <c r="B18" s="122" t="str">
        <f>ORÇAMENTO!D13</f>
        <v>DEMOLICAO MANUAL COBERTURA TELHA FIBROCIMENTO/FIBRA DE VIDRO/SIMILARES C/ TRANSP. ATÉ CB. E CARGA</v>
      </c>
      <c r="C18" s="59" t="str">
        <f>ORÇAMENTO!E13</f>
        <v xml:space="preserve">m2   </v>
      </c>
      <c r="D18" s="125" t="s">
        <v>24</v>
      </c>
    </row>
    <row r="19" spans="1:4" x14ac:dyDescent="0.25">
      <c r="A19" s="33"/>
      <c r="B19" s="122" t="s">
        <v>119</v>
      </c>
      <c r="C19" s="34"/>
      <c r="D19" s="124">
        <f>2070*0.15</f>
        <v>310.5</v>
      </c>
    </row>
    <row r="20" spans="1:4" s="113" customFormat="1" x14ac:dyDescent="0.25">
      <c r="A20" s="273" t="s">
        <v>118</v>
      </c>
      <c r="B20" s="274"/>
      <c r="C20" s="275"/>
      <c r="D20" s="126">
        <f>D19</f>
        <v>310.5</v>
      </c>
    </row>
    <row r="21" spans="1:4" ht="25.5" x14ac:dyDescent="0.25">
      <c r="A21" s="33" t="str">
        <f>ORÇAMENTO!A14</f>
        <v>1.4</v>
      </c>
      <c r="B21" s="122" t="str">
        <f>ORÇAMENTO!D14</f>
        <v xml:space="preserve">PLACA DE OBRA PLOTADA EM CHAPA METÁLICA 26 , AFIXADA EM CAVALETES DE MADEIRA DE LEI (VIGOTAS 6X12CM) - PADRÃO GOINFRA </v>
      </c>
      <c r="C21" s="124" t="str">
        <f>ORÇAMENTO!E14</f>
        <v xml:space="preserve">m2    </v>
      </c>
      <c r="D21" s="124" t="s">
        <v>24</v>
      </c>
    </row>
    <row r="22" spans="1:4" x14ac:dyDescent="0.25">
      <c r="A22" s="33"/>
      <c r="B22" s="122" t="s">
        <v>120</v>
      </c>
      <c r="C22" s="59"/>
      <c r="D22" s="125">
        <v>1.5</v>
      </c>
    </row>
    <row r="23" spans="1:4" x14ac:dyDescent="0.25">
      <c r="A23" s="33"/>
      <c r="B23" s="122" t="s">
        <v>117</v>
      </c>
      <c r="C23" s="34"/>
      <c r="D23" s="124">
        <v>2</v>
      </c>
    </row>
    <row r="24" spans="1:4" s="113" customFormat="1" ht="15.75" thickBot="1" x14ac:dyDescent="0.3">
      <c r="A24" s="273" t="s">
        <v>118</v>
      </c>
      <c r="B24" s="274"/>
      <c r="C24" s="275"/>
      <c r="D24" s="126">
        <f>D23*D22</f>
        <v>3</v>
      </c>
    </row>
    <row r="25" spans="1:4" s="113" customFormat="1" ht="15.75" thickBot="1" x14ac:dyDescent="0.3">
      <c r="A25" s="115">
        <f>ORÇAMENTO!A17</f>
        <v>2</v>
      </c>
      <c r="B25" s="120" t="str">
        <f>ORÇAMENTO!D17</f>
        <v>TRANSPORTES</v>
      </c>
      <c r="C25" s="116"/>
      <c r="D25" s="123"/>
    </row>
    <row r="26" spans="1:4" x14ac:dyDescent="0.25">
      <c r="A26" s="33" t="str">
        <f>ORÇAMENTO!A18</f>
        <v>2.1</v>
      </c>
      <c r="B26" s="122" t="str">
        <f>ORÇAMENTO!D18</f>
        <v xml:space="preserve">TRANSPORTE DE ENTULHO CAÇAMBA ESTACIONÁRIA SEM CARGA </v>
      </c>
      <c r="C26" s="59" t="str">
        <f>ORÇAMENTO!E18</f>
        <v xml:space="preserve">m3    </v>
      </c>
      <c r="D26" s="125" t="s">
        <v>121</v>
      </c>
    </row>
    <row r="27" spans="1:4" x14ac:dyDescent="0.25">
      <c r="A27" s="33"/>
      <c r="B27" s="122" t="s">
        <v>123</v>
      </c>
      <c r="C27" s="34"/>
      <c r="D27" s="124"/>
    </row>
    <row r="28" spans="1:4" x14ac:dyDescent="0.25">
      <c r="A28" s="33"/>
      <c r="B28" s="122" t="s">
        <v>122</v>
      </c>
      <c r="C28" s="59"/>
      <c r="D28" s="125"/>
    </row>
    <row r="29" spans="1:4" x14ac:dyDescent="0.25">
      <c r="A29" s="33"/>
      <c r="B29" s="122" t="s">
        <v>124</v>
      </c>
      <c r="C29" s="34"/>
      <c r="D29" s="124">
        <f>D17*0.04</f>
        <v>0.41440000000000005</v>
      </c>
    </row>
    <row r="30" spans="1:4" x14ac:dyDescent="0.25">
      <c r="A30" s="33"/>
      <c r="B30" s="122" t="s">
        <v>125</v>
      </c>
      <c r="C30" s="59"/>
      <c r="D30" s="125">
        <f>D20*0.08</f>
        <v>24.84</v>
      </c>
    </row>
    <row r="31" spans="1:4" x14ac:dyDescent="0.25">
      <c r="A31" s="33"/>
      <c r="B31" s="122" t="s">
        <v>127</v>
      </c>
      <c r="C31" s="34"/>
      <c r="D31" s="124">
        <f>2070*0.03</f>
        <v>62.099999999999994</v>
      </c>
    </row>
    <row r="32" spans="1:4" s="113" customFormat="1" ht="15.75" thickBot="1" x14ac:dyDescent="0.3">
      <c r="A32" s="273" t="s">
        <v>118</v>
      </c>
      <c r="B32" s="274"/>
      <c r="C32" s="275"/>
      <c r="D32" s="126">
        <f>SUM(D27:D31)</f>
        <v>87.354399999999998</v>
      </c>
    </row>
    <row r="33" spans="1:4" s="113" customFormat="1" ht="15.75" thickBot="1" x14ac:dyDescent="0.3">
      <c r="A33" s="115">
        <f>ORÇAMENTO!A21</f>
        <v>3</v>
      </c>
      <c r="B33" s="120" t="str">
        <f>ORÇAMENTO!D21</f>
        <v>COBERTURAS</v>
      </c>
      <c r="C33" s="116"/>
      <c r="D33" s="123"/>
    </row>
    <row r="34" spans="1:4" x14ac:dyDescent="0.25">
      <c r="A34" s="33" t="str">
        <f>ORÇAMENTO!A22</f>
        <v>3.1</v>
      </c>
      <c r="B34" s="122" t="str">
        <f>ORÇAMENTO!D22</f>
        <v xml:space="preserve"> COBERTURA COM TELHA ONDULADA DE FIBROCIMENTO </v>
      </c>
      <c r="C34" s="59" t="str">
        <f>ORÇAMENTO!E22</f>
        <v xml:space="preserve">m2    </v>
      </c>
      <c r="D34" s="125" t="s">
        <v>132</v>
      </c>
    </row>
    <row r="35" spans="1:4" s="113" customFormat="1" x14ac:dyDescent="0.25">
      <c r="A35" s="33"/>
      <c r="B35" s="122" t="s">
        <v>119</v>
      </c>
      <c r="C35" s="34"/>
      <c r="D35" s="124">
        <f>2070*0.15</f>
        <v>310.5</v>
      </c>
    </row>
    <row r="36" spans="1:4" s="113" customFormat="1" x14ac:dyDescent="0.25">
      <c r="A36" s="273" t="s">
        <v>118</v>
      </c>
      <c r="B36" s="274"/>
      <c r="C36" s="275"/>
      <c r="D36" s="126">
        <f>D35</f>
        <v>310.5</v>
      </c>
    </row>
    <row r="37" spans="1:4" x14ac:dyDescent="0.25">
      <c r="A37" s="33" t="str">
        <f>ORÇAMENTO!A23</f>
        <v>3.2</v>
      </c>
      <c r="B37" s="122" t="str">
        <f>ORÇAMENTO!D23</f>
        <v xml:space="preserve"> CALHA DE CHAPA GALVANIZADA </v>
      </c>
      <c r="C37" s="59">
        <f>ORÇAMENTO!E25</f>
        <v>0</v>
      </c>
      <c r="D37" s="125" t="s">
        <v>132</v>
      </c>
    </row>
    <row r="38" spans="1:4" x14ac:dyDescent="0.25">
      <c r="A38" s="33"/>
      <c r="B38" s="122" t="s">
        <v>119</v>
      </c>
      <c r="C38" s="34"/>
      <c r="D38" s="124">
        <f>2070*0.15</f>
        <v>310.5</v>
      </c>
    </row>
    <row r="39" spans="1:4" x14ac:dyDescent="0.25">
      <c r="A39" s="273" t="s">
        <v>118</v>
      </c>
      <c r="B39" s="274"/>
      <c r="C39" s="275"/>
      <c r="D39" s="126">
        <f>259*0.1</f>
        <v>25.900000000000002</v>
      </c>
    </row>
    <row r="40" spans="1:4" x14ac:dyDescent="0.25">
      <c r="A40" s="33" t="str">
        <f>ORÇAMENTO!A24</f>
        <v>3.3</v>
      </c>
      <c r="B40" s="122" t="str">
        <f>ORÇAMENTO!D24</f>
        <v xml:space="preserve"> RUFO DE CHAPA GALVANIZADA </v>
      </c>
      <c r="C40" s="59" t="str">
        <f>ORÇAMENTO!E28</f>
        <v>und</v>
      </c>
      <c r="D40" s="125" t="s">
        <v>132</v>
      </c>
    </row>
    <row r="41" spans="1:4" x14ac:dyDescent="0.25">
      <c r="A41" s="33"/>
      <c r="B41" s="122" t="s">
        <v>119</v>
      </c>
      <c r="C41" s="34"/>
      <c r="D41" s="124">
        <f>259*0.2</f>
        <v>51.800000000000004</v>
      </c>
    </row>
    <row r="42" spans="1:4" ht="15.75" thickBot="1" x14ac:dyDescent="0.3">
      <c r="A42" s="273" t="s">
        <v>118</v>
      </c>
      <c r="B42" s="274"/>
      <c r="C42" s="275"/>
      <c r="D42" s="126">
        <f>259*0.1</f>
        <v>25.900000000000002</v>
      </c>
    </row>
    <row r="43" spans="1:4" ht="15.75" thickBot="1" x14ac:dyDescent="0.3">
      <c r="A43" s="115">
        <f>ORÇAMENTO!A27</f>
        <v>4</v>
      </c>
      <c r="B43" s="120" t="str">
        <f>ORÇAMENTO!D27</f>
        <v>ESQUADRIAS DE MADEIRAS</v>
      </c>
      <c r="C43" s="116"/>
      <c r="D43" s="123"/>
    </row>
    <row r="44" spans="1:4" x14ac:dyDescent="0.25">
      <c r="A44" s="33" t="str">
        <f>ORÇAMENTO!A28</f>
        <v>4.1</v>
      </c>
      <c r="B44" s="122" t="str">
        <f>ORÇAMENTO!D28</f>
        <v>RECUPERAÇÃO DE PORTAS 80x210</v>
      </c>
      <c r="C44" s="59" t="s">
        <v>188</v>
      </c>
      <c r="D44" s="125" t="s">
        <v>140</v>
      </c>
    </row>
    <row r="45" spans="1:4" x14ac:dyDescent="0.25">
      <c r="A45" s="33"/>
      <c r="B45" s="122" t="s">
        <v>187</v>
      </c>
      <c r="C45" s="34"/>
      <c r="D45" s="124">
        <v>7</v>
      </c>
    </row>
    <row r="46" spans="1:4" x14ac:dyDescent="0.25">
      <c r="A46" s="273" t="s">
        <v>118</v>
      </c>
      <c r="B46" s="274"/>
      <c r="C46" s="275"/>
      <c r="D46" s="126">
        <f>D45</f>
        <v>7</v>
      </c>
    </row>
    <row r="47" spans="1:4" x14ac:dyDescent="0.25">
      <c r="A47" s="33" t="str">
        <f>ORÇAMENTO!A29</f>
        <v>4.2</v>
      </c>
      <c r="B47" s="122" t="str">
        <f>ORÇAMENTO!D29</f>
        <v>RECUPERAÇÃO DE PORTAS 90x210</v>
      </c>
      <c r="C47" s="59" t="str">
        <f>ORÇAMENTO!E29</f>
        <v>und</v>
      </c>
      <c r="D47" s="125" t="s">
        <v>140</v>
      </c>
    </row>
    <row r="48" spans="1:4" x14ac:dyDescent="0.25">
      <c r="A48" s="33"/>
      <c r="B48" s="122" t="s">
        <v>191</v>
      </c>
      <c r="C48" s="34"/>
      <c r="D48" s="124">
        <v>20</v>
      </c>
    </row>
    <row r="49" spans="1:4" x14ac:dyDescent="0.25">
      <c r="A49" s="273" t="s">
        <v>118</v>
      </c>
      <c r="B49" s="274"/>
      <c r="C49" s="275"/>
      <c r="D49" s="126">
        <f>D48</f>
        <v>20</v>
      </c>
    </row>
    <row r="50" spans="1:4" x14ac:dyDescent="0.25">
      <c r="A50" s="33" t="str">
        <f>ORÇAMENTO!A30</f>
        <v>4.3</v>
      </c>
      <c r="B50" s="122" t="str">
        <f>ORÇAMENTO!D30</f>
        <v>RECUPERAÇÃO DE PORTAS 110x210</v>
      </c>
      <c r="C50" s="59" t="str">
        <f>ORÇAMENTO!E30</f>
        <v>und</v>
      </c>
      <c r="D50" s="125" t="s">
        <v>140</v>
      </c>
    </row>
    <row r="51" spans="1:4" x14ac:dyDescent="0.25">
      <c r="A51" s="33"/>
      <c r="B51" s="122" t="s">
        <v>192</v>
      </c>
      <c r="C51" s="34"/>
      <c r="D51" s="124">
        <v>48</v>
      </c>
    </row>
    <row r="52" spans="1:4" x14ac:dyDescent="0.25">
      <c r="A52" s="273" t="s">
        <v>118</v>
      </c>
      <c r="B52" s="274"/>
      <c r="C52" s="275"/>
      <c r="D52" s="126">
        <f>D51</f>
        <v>48</v>
      </c>
    </row>
    <row r="53" spans="1:4" s="113" customFormat="1" x14ac:dyDescent="0.25">
      <c r="A53" s="33" t="str">
        <f>ORÇAMENTO!A31</f>
        <v>4.4</v>
      </c>
      <c r="B53" s="122" t="str">
        <f>ORÇAMENTO!D31</f>
        <v>RECUPERAÇÃO DE PORTAS 150x210 - VAI E VEM</v>
      </c>
      <c r="C53" s="59" t="str">
        <f>ORÇAMENTO!E31</f>
        <v>und</v>
      </c>
      <c r="D53" s="125" t="s">
        <v>140</v>
      </c>
    </row>
    <row r="54" spans="1:4" s="113" customFormat="1" x14ac:dyDescent="0.25">
      <c r="A54" s="33"/>
      <c r="B54" s="122" t="s">
        <v>194</v>
      </c>
      <c r="C54" s="34"/>
      <c r="D54" s="124">
        <v>9</v>
      </c>
    </row>
    <row r="55" spans="1:4" ht="15.75" thickBot="1" x14ac:dyDescent="0.3">
      <c r="A55" s="273" t="s">
        <v>118</v>
      </c>
      <c r="B55" s="274"/>
      <c r="C55" s="275"/>
      <c r="D55" s="126">
        <f>D54</f>
        <v>9</v>
      </c>
    </row>
    <row r="56" spans="1:4" ht="15.75" thickBot="1" x14ac:dyDescent="0.3">
      <c r="A56" s="115">
        <v>5</v>
      </c>
      <c r="B56" s="120" t="str">
        <f>ORÇAMENTO!D34</f>
        <v>REVESTIMENTO DE PISO</v>
      </c>
      <c r="C56" s="116"/>
      <c r="D56" s="123"/>
    </row>
    <row r="57" spans="1:4" x14ac:dyDescent="0.25">
      <c r="A57" s="33" t="str">
        <f>ORÇAMENTO!A35</f>
        <v>5.1</v>
      </c>
      <c r="B57" s="122" t="str">
        <f>'COMPOSIÇÃO '!D45</f>
        <v>PISO PORCELANATO ACETINADO 1,20X1,20</v>
      </c>
      <c r="C57" s="59" t="str">
        <f>'COMPOSIÇÃO '!E45</f>
        <v xml:space="preserve">m2   </v>
      </c>
      <c r="D57" s="125" t="s">
        <v>132</v>
      </c>
    </row>
    <row r="58" spans="1:4" x14ac:dyDescent="0.25">
      <c r="A58" s="33"/>
      <c r="B58" s="122" t="s">
        <v>189</v>
      </c>
      <c r="C58" s="34"/>
      <c r="D58" s="124">
        <v>2218.4499999999998</v>
      </c>
    </row>
    <row r="59" spans="1:4" x14ac:dyDescent="0.25">
      <c r="A59" s="273" t="s">
        <v>118</v>
      </c>
      <c r="B59" s="274"/>
      <c r="C59" s="275"/>
      <c r="D59" s="126">
        <f>D58</f>
        <v>2218.4499999999998</v>
      </c>
    </row>
    <row r="60" spans="1:4" x14ac:dyDescent="0.25">
      <c r="A60" s="33" t="str">
        <f>ORÇAMENTO!A36</f>
        <v>5.2</v>
      </c>
      <c r="B60" s="122" t="str">
        <f>ORÇAMENTO!D36</f>
        <v xml:space="preserve"> PISO CONCRETO DESEMPENADO ESPESSURA = 5 CM  1:2,5:3,5 </v>
      </c>
      <c r="C60" s="59" t="str">
        <f>ORÇAMENTO!E48</f>
        <v xml:space="preserve">m2    </v>
      </c>
      <c r="D60" s="125" t="s">
        <v>132</v>
      </c>
    </row>
    <row r="61" spans="1:4" x14ac:dyDescent="0.25">
      <c r="A61" s="33"/>
      <c r="B61" s="122" t="s">
        <v>190</v>
      </c>
      <c r="C61" s="34"/>
      <c r="D61" s="124">
        <v>791.77</v>
      </c>
    </row>
    <row r="62" spans="1:4" x14ac:dyDescent="0.25">
      <c r="A62" s="273" t="s">
        <v>118</v>
      </c>
      <c r="B62" s="274"/>
      <c r="C62" s="275"/>
      <c r="D62" s="126">
        <f>D61</f>
        <v>791.77</v>
      </c>
    </row>
    <row r="63" spans="1:4" s="113" customFormat="1" x14ac:dyDescent="0.25">
      <c r="A63" s="33" t="str">
        <f>ORÇAMENTO!A37</f>
        <v>5.3</v>
      </c>
      <c r="B63" s="122" t="str">
        <f>ORÇAMENTO!D37</f>
        <v>RODAPÉ CERÂMICO ESMALTADO PEIV 7CM À 10CM</v>
      </c>
      <c r="C63" s="59" t="str">
        <f>ORÇAMENTO!E37</f>
        <v>M</v>
      </c>
      <c r="D63" s="125" t="s">
        <v>132</v>
      </c>
    </row>
    <row r="64" spans="1:4" s="113" customFormat="1" x14ac:dyDescent="0.25">
      <c r="A64" s="33"/>
      <c r="B64" s="122" t="s">
        <v>227</v>
      </c>
      <c r="C64" s="34"/>
      <c r="D64" s="124">
        <f>1080.2</f>
        <v>1080.2</v>
      </c>
    </row>
    <row r="65" spans="1:4" s="113" customFormat="1" ht="15.75" thickBot="1" x14ac:dyDescent="0.3">
      <c r="A65" s="273" t="s">
        <v>118</v>
      </c>
      <c r="B65" s="274"/>
      <c r="C65" s="275"/>
      <c r="D65" s="126">
        <f>D64</f>
        <v>1080.2</v>
      </c>
    </row>
    <row r="66" spans="1:4" ht="15.75" thickBot="1" x14ac:dyDescent="0.3">
      <c r="A66" s="115">
        <f>ORÇAMENTO!A40</f>
        <v>6</v>
      </c>
      <c r="B66" s="120" t="str">
        <f>ORÇAMENTO!D40</f>
        <v>ADMINISTRAÇÃO - MENSALISTAS</v>
      </c>
      <c r="C66" s="116"/>
      <c r="D66" s="123"/>
    </row>
    <row r="67" spans="1:4" x14ac:dyDescent="0.25">
      <c r="A67" s="33" t="str">
        <f>ORÇAMENTO!A41</f>
        <v>6.1</v>
      </c>
      <c r="B67" s="122" t="str">
        <f>ORÇAMENTO!D41</f>
        <v xml:space="preserve">ENCARREGADO - (OBRAS CIVIS) </v>
      </c>
      <c r="C67" s="59" t="str">
        <f>ORÇAMENTO!E41</f>
        <v xml:space="preserve">H     </v>
      </c>
      <c r="D67" s="125" t="s">
        <v>196</v>
      </c>
    </row>
    <row r="68" spans="1:4" x14ac:dyDescent="0.25">
      <c r="A68" s="33"/>
      <c r="B68" s="122" t="s">
        <v>197</v>
      </c>
      <c r="C68" s="34"/>
      <c r="D68" s="124">
        <v>2</v>
      </c>
    </row>
    <row r="69" spans="1:4" s="113" customFormat="1" x14ac:dyDescent="0.25">
      <c r="A69" s="155"/>
      <c r="B69" s="156" t="s">
        <v>198</v>
      </c>
      <c r="C69" s="34"/>
      <c r="D69" s="124">
        <v>20</v>
      </c>
    </row>
    <row r="70" spans="1:4" s="113" customFormat="1" x14ac:dyDescent="0.25">
      <c r="A70" s="155"/>
      <c r="B70" s="156" t="s">
        <v>199</v>
      </c>
      <c r="C70" s="34"/>
      <c r="D70" s="124">
        <v>7</v>
      </c>
    </row>
    <row r="71" spans="1:4" x14ac:dyDescent="0.25">
      <c r="A71" s="273" t="s">
        <v>118</v>
      </c>
      <c r="B71" s="274"/>
      <c r="C71" s="275"/>
      <c r="D71" s="126">
        <f>D68*D69*D70</f>
        <v>280</v>
      </c>
    </row>
    <row r="72" spans="1:4" x14ac:dyDescent="0.25">
      <c r="A72" s="33" t="str">
        <f>ORÇAMENTO!A42</f>
        <v>6.2</v>
      </c>
      <c r="B72" s="122" t="str">
        <f>ORÇAMENTO!D42</f>
        <v>MESTRE DE OBRA - (OBRAS CIVIS)</v>
      </c>
      <c r="C72" s="59" t="str">
        <f>ORÇAMENTO!E46</f>
        <v xml:space="preserve"> m2    </v>
      </c>
      <c r="D72" s="125" t="s">
        <v>196</v>
      </c>
    </row>
    <row r="73" spans="1:4" s="113" customFormat="1" x14ac:dyDescent="0.25">
      <c r="A73" s="33"/>
      <c r="B73" s="122" t="s">
        <v>197</v>
      </c>
      <c r="C73" s="34"/>
      <c r="D73" s="124">
        <v>2</v>
      </c>
    </row>
    <row r="74" spans="1:4" s="113" customFormat="1" x14ac:dyDescent="0.25">
      <c r="A74" s="155"/>
      <c r="B74" s="156" t="s">
        <v>198</v>
      </c>
      <c r="C74" s="34"/>
      <c r="D74" s="124">
        <v>20</v>
      </c>
    </row>
    <row r="75" spans="1:4" s="113" customFormat="1" x14ac:dyDescent="0.25">
      <c r="A75" s="155"/>
      <c r="B75" s="156" t="s">
        <v>199</v>
      </c>
      <c r="C75" s="34"/>
      <c r="D75" s="124">
        <v>7</v>
      </c>
    </row>
    <row r="76" spans="1:4" s="113" customFormat="1" ht="15.75" thickBot="1" x14ac:dyDescent="0.3">
      <c r="A76" s="273" t="s">
        <v>118</v>
      </c>
      <c r="B76" s="274"/>
      <c r="C76" s="275"/>
      <c r="D76" s="126">
        <f>D73*D74*D75</f>
        <v>280</v>
      </c>
    </row>
    <row r="77" spans="1:4" ht="15.75" thickBot="1" x14ac:dyDescent="0.3">
      <c r="A77" s="115">
        <f>ORÇAMENTO!A45</f>
        <v>7</v>
      </c>
      <c r="B77" s="120" t="str">
        <f>ORÇAMENTO!D45</f>
        <v>PINTURA</v>
      </c>
      <c r="C77" s="116"/>
      <c r="D77" s="123"/>
    </row>
    <row r="78" spans="1:4" x14ac:dyDescent="0.25">
      <c r="A78" s="33" t="str">
        <f>ORÇAMENTO!A46</f>
        <v>7.1</v>
      </c>
      <c r="B78" s="122" t="str">
        <f>ORÇAMENTO!D46</f>
        <v>PINTURA LATEX ACRILICO 2 DEMAOS</v>
      </c>
      <c r="C78" s="59" t="str">
        <f>ORÇAMENTO!E46</f>
        <v xml:space="preserve"> m2    </v>
      </c>
      <c r="D78" s="125" t="s">
        <v>24</v>
      </c>
    </row>
    <row r="79" spans="1:4" x14ac:dyDescent="0.25">
      <c r="A79" s="33"/>
      <c r="B79" s="122" t="s">
        <v>205</v>
      </c>
      <c r="C79" s="34"/>
      <c r="D79" s="124">
        <v>4502.5</v>
      </c>
    </row>
    <row r="80" spans="1:4" x14ac:dyDescent="0.25">
      <c r="A80" s="273" t="s">
        <v>118</v>
      </c>
      <c r="B80" s="274"/>
      <c r="C80" s="275"/>
      <c r="D80" s="126">
        <f>D79</f>
        <v>4502.5</v>
      </c>
    </row>
    <row r="81" spans="1:4" x14ac:dyDescent="0.25">
      <c r="A81" s="33" t="str">
        <f>ORÇAMENTO!A47</f>
        <v>7.2</v>
      </c>
      <c r="B81" s="122" t="str">
        <f>ORÇAMENTO!D47</f>
        <v xml:space="preserve">EMASSAMENTO COM MASSA PVA UMA DEMAO </v>
      </c>
      <c r="C81" s="59" t="str">
        <f>ORÇAMENTO!E47</f>
        <v xml:space="preserve">m2    </v>
      </c>
      <c r="D81" s="125" t="s">
        <v>24</v>
      </c>
    </row>
    <row r="82" spans="1:4" x14ac:dyDescent="0.25">
      <c r="A82" s="33"/>
      <c r="B82" s="122" t="s">
        <v>206</v>
      </c>
      <c r="C82" s="34"/>
      <c r="D82" s="124">
        <f>2674.93*0.1</f>
        <v>267.49299999999999</v>
      </c>
    </row>
    <row r="83" spans="1:4" x14ac:dyDescent="0.25">
      <c r="A83" s="273" t="s">
        <v>118</v>
      </c>
      <c r="B83" s="274"/>
      <c r="C83" s="275"/>
      <c r="D83" s="126">
        <f>D82</f>
        <v>267.49299999999999</v>
      </c>
    </row>
    <row r="84" spans="1:4" x14ac:dyDescent="0.25">
      <c r="A84" s="33" t="str">
        <f>ORÇAMENTO!A48</f>
        <v>7.3</v>
      </c>
      <c r="B84" s="122" t="str">
        <f>ORÇAMENTO!D48</f>
        <v xml:space="preserve">PINTURA PVA LATEX 2 DEMAOS SEM SELADOR </v>
      </c>
      <c r="C84" s="59" t="str">
        <f>ORÇAMENTO!E48</f>
        <v xml:space="preserve">m2    </v>
      </c>
      <c r="D84" s="125" t="s">
        <v>24</v>
      </c>
    </row>
    <row r="85" spans="1:4" x14ac:dyDescent="0.25">
      <c r="A85" s="33"/>
      <c r="B85" s="122" t="s">
        <v>207</v>
      </c>
      <c r="C85" s="34"/>
      <c r="D85" s="124">
        <v>2674.93</v>
      </c>
    </row>
    <row r="86" spans="1:4" s="113" customFormat="1" x14ac:dyDescent="0.25">
      <c r="A86" s="155"/>
      <c r="B86" s="156" t="s">
        <v>220</v>
      </c>
      <c r="C86" s="34"/>
      <c r="D86" s="124">
        <f>2205.42+190.57</f>
        <v>2395.9900000000002</v>
      </c>
    </row>
    <row r="87" spans="1:4" s="113" customFormat="1" x14ac:dyDescent="0.25">
      <c r="A87" s="273" t="s">
        <v>118</v>
      </c>
      <c r="B87" s="274"/>
      <c r="C87" s="275"/>
      <c r="D87" s="126">
        <f>SUM(D85:D86)</f>
        <v>5070.92</v>
      </c>
    </row>
    <row r="88" spans="1:4" s="113" customFormat="1" ht="25.5" x14ac:dyDescent="0.25">
      <c r="A88" s="33" t="str">
        <f>ORÇAMENTO!A49</f>
        <v>7.4</v>
      </c>
      <c r="B88" s="122" t="str">
        <f>ORÇAMENTO!D49</f>
        <v>PINTURA ESMALTE 1 DEMÃO ESQUADRIA METALICA S/FUNDO
 ANTICORROSIVO</v>
      </c>
      <c r="C88" s="59" t="str">
        <f>ORÇAMENTO!E49</f>
        <v xml:space="preserve">m2    </v>
      </c>
      <c r="D88" s="125" t="s">
        <v>24</v>
      </c>
    </row>
    <row r="89" spans="1:4" s="113" customFormat="1" x14ac:dyDescent="0.25">
      <c r="A89" s="33"/>
      <c r="B89" s="122" t="s">
        <v>217</v>
      </c>
      <c r="C89" s="34"/>
      <c r="D89" s="124">
        <f>171.19*2</f>
        <v>342.38</v>
      </c>
    </row>
    <row r="90" spans="1:4" s="113" customFormat="1" x14ac:dyDescent="0.25">
      <c r="A90" s="155"/>
      <c r="B90" s="156" t="s">
        <v>218</v>
      </c>
      <c r="C90" s="34"/>
      <c r="D90" s="124">
        <f>275.61*2</f>
        <v>551.22</v>
      </c>
    </row>
    <row r="91" spans="1:4" s="113" customFormat="1" x14ac:dyDescent="0.25">
      <c r="A91" s="155"/>
      <c r="B91" s="156" t="s">
        <v>219</v>
      </c>
      <c r="C91" s="34"/>
      <c r="D91" s="124">
        <f>19.35*3</f>
        <v>58.050000000000004</v>
      </c>
    </row>
    <row r="92" spans="1:4" s="113" customFormat="1" x14ac:dyDescent="0.25">
      <c r="A92" s="273" t="s">
        <v>118</v>
      </c>
      <c r="B92" s="274"/>
      <c r="C92" s="275"/>
      <c r="D92" s="126">
        <f>SUM(D89:D91)</f>
        <v>951.65</v>
      </c>
    </row>
    <row r="93" spans="1:4" s="113" customFormat="1" x14ac:dyDescent="0.25">
      <c r="A93" s="33" t="str">
        <f>ORÇAMENTO!A50</f>
        <v>7.5</v>
      </c>
      <c r="B93" s="122" t="str">
        <f>ORÇAMENTO!D50</f>
        <v xml:space="preserve">PINTURA TINTA POLIESPORTIVA - 2 DEMÃOS (PISOS E CIMENTADOS) </v>
      </c>
      <c r="C93" s="59" t="str">
        <f>ORÇAMENTO!E36</f>
        <v xml:space="preserve">  M2</v>
      </c>
      <c r="D93" s="125" t="s">
        <v>24</v>
      </c>
    </row>
    <row r="94" spans="1:4" s="113" customFormat="1" x14ac:dyDescent="0.25">
      <c r="A94" s="33"/>
      <c r="B94" s="122" t="str">
        <f>B61</f>
        <v xml:space="preserve">Calçamento e estacionamento </v>
      </c>
      <c r="C94" s="34"/>
      <c r="D94" s="124">
        <f>D62</f>
        <v>791.77</v>
      </c>
    </row>
    <row r="95" spans="1:4" s="113" customFormat="1" x14ac:dyDescent="0.25">
      <c r="A95" s="273" t="s">
        <v>118</v>
      </c>
      <c r="B95" s="274"/>
      <c r="C95" s="275"/>
      <c r="D95" s="126">
        <f>D94</f>
        <v>791.77</v>
      </c>
    </row>
    <row r="96" spans="1:4" s="113" customFormat="1" ht="38.25" x14ac:dyDescent="0.25">
      <c r="A96" s="33" t="str">
        <f>ORÇAMENTO!A51</f>
        <v>7.6</v>
      </c>
      <c r="B96" s="122" t="str">
        <f>ORÇAMENTO!D51</f>
        <v>PINTURA DE SÍMBOLO (PCD, GESTANTE OU IDOSO) COM TINTA
 ACRILICA PARA PISO UTILIZANDO GABARITO DE POLIESTIRENO (
 120X120 CM)</v>
      </c>
      <c r="C96" s="59" t="str">
        <f>ORÇAMENTO!E51</f>
        <v xml:space="preserve"> un </v>
      </c>
      <c r="D96" s="125" t="s">
        <v>24</v>
      </c>
    </row>
    <row r="97" spans="1:4" s="113" customFormat="1" x14ac:dyDescent="0.25">
      <c r="A97" s="33"/>
      <c r="B97" s="122" t="s">
        <v>233</v>
      </c>
      <c r="C97" s="34"/>
      <c r="D97" s="124">
        <v>2</v>
      </c>
    </row>
    <row r="98" spans="1:4" s="113" customFormat="1" ht="15.75" thickBot="1" x14ac:dyDescent="0.3">
      <c r="A98" s="273" t="s">
        <v>118</v>
      </c>
      <c r="B98" s="274"/>
      <c r="C98" s="275"/>
      <c r="D98" s="126">
        <f>D97</f>
        <v>2</v>
      </c>
    </row>
    <row r="99" spans="1:4" s="113" customFormat="1" ht="15.75" thickBot="1" x14ac:dyDescent="0.3">
      <c r="A99" s="115">
        <f>ORÇAMENTO!A54</f>
        <v>8</v>
      </c>
      <c r="B99" s="120" t="str">
        <f>ORÇAMENTO!D54</f>
        <v>DIVERSOS</v>
      </c>
      <c r="C99" s="116"/>
      <c r="D99" s="123"/>
    </row>
    <row r="100" spans="1:4" s="113" customFormat="1" x14ac:dyDescent="0.25">
      <c r="A100" s="33" t="str">
        <f>ORÇAMENTO!A55</f>
        <v>8.1</v>
      </c>
      <c r="B100" s="122" t="str">
        <f>ORÇAMENTO!D55</f>
        <v xml:space="preserve">LIMPEZA FINAL DE OBRA - (OBRAS CIVIS) </v>
      </c>
      <c r="C100" s="59" t="str">
        <f>ORÇAMENTO!E55</f>
        <v xml:space="preserve">m2   </v>
      </c>
      <c r="D100" s="125" t="s">
        <v>24</v>
      </c>
    </row>
    <row r="101" spans="1:4" s="113" customFormat="1" x14ac:dyDescent="0.25">
      <c r="A101" s="33"/>
      <c r="B101" s="122" t="s">
        <v>208</v>
      </c>
      <c r="C101" s="34"/>
      <c r="D101" s="157">
        <v>2286.6999999999998</v>
      </c>
    </row>
    <row r="102" spans="1:4" s="113" customFormat="1" x14ac:dyDescent="0.25">
      <c r="A102" s="273" t="s">
        <v>118</v>
      </c>
      <c r="B102" s="274"/>
      <c r="C102" s="275"/>
      <c r="D102" s="126">
        <f>D101</f>
        <v>2286.6999999999998</v>
      </c>
    </row>
    <row r="104" spans="1:4" x14ac:dyDescent="0.25">
      <c r="B104" s="26"/>
      <c r="C104" s="63"/>
      <c r="D104" s="3"/>
    </row>
    <row r="105" spans="1:4" x14ac:dyDescent="0.25">
      <c r="B105" s="223" t="s">
        <v>36</v>
      </c>
      <c r="C105" s="223"/>
      <c r="D105" s="223"/>
    </row>
  </sheetData>
  <mergeCells count="32">
    <mergeCell ref="A20:C20"/>
    <mergeCell ref="A24:C24"/>
    <mergeCell ref="A32:C32"/>
    <mergeCell ref="A36:C36"/>
    <mergeCell ref="B105:D105"/>
    <mergeCell ref="A65:C65"/>
    <mergeCell ref="A87:C87"/>
    <mergeCell ref="A102:C102"/>
    <mergeCell ref="A92:C92"/>
    <mergeCell ref="A98:C98"/>
    <mergeCell ref="A46:C46"/>
    <mergeCell ref="A49:C49"/>
    <mergeCell ref="A59:C59"/>
    <mergeCell ref="A62:C62"/>
    <mergeCell ref="A52:C52"/>
    <mergeCell ref="A55:C55"/>
    <mergeCell ref="A1:D1"/>
    <mergeCell ref="A2:D2"/>
    <mergeCell ref="A3:D3"/>
    <mergeCell ref="A4:D4"/>
    <mergeCell ref="A95:C95"/>
    <mergeCell ref="A39:C39"/>
    <mergeCell ref="A17:C17"/>
    <mergeCell ref="A14:C14"/>
    <mergeCell ref="A5:D5"/>
    <mergeCell ref="A6:D6"/>
    <mergeCell ref="A11:C11"/>
    <mergeCell ref="A71:C71"/>
    <mergeCell ref="A76:C76"/>
    <mergeCell ref="A80:C80"/>
    <mergeCell ref="A83:C83"/>
    <mergeCell ref="A42:C42"/>
  </mergeCells>
  <phoneticPr fontId="8" type="noConversion"/>
  <pageMargins left="0.7" right="0.7" top="0.75" bottom="0.75" header="0.3" footer="0.3"/>
  <pageSetup paperSize="9" scale="7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69" zoomScaleNormal="69" workbookViewId="0">
      <pane xSplit="3" topLeftCell="D1" activePane="topRight" state="frozen"/>
      <selection activeCell="A4" sqref="A4"/>
      <selection pane="topRight" activeCell="H13" sqref="H13"/>
    </sheetView>
  </sheetViews>
  <sheetFormatPr defaultRowHeight="15" x14ac:dyDescent="0.25"/>
  <cols>
    <col min="2" max="2" width="36.85546875" style="3" customWidth="1"/>
    <col min="3" max="3" width="21" bestFit="1" customWidth="1"/>
    <col min="4" max="4" width="44.7109375" customWidth="1"/>
    <col min="5" max="5" width="45" customWidth="1"/>
    <col min="6" max="6" width="17.5703125" bestFit="1" customWidth="1"/>
    <col min="7" max="7" width="17.140625" customWidth="1"/>
    <col min="8" max="8" width="14" bestFit="1" customWidth="1"/>
  </cols>
  <sheetData>
    <row r="1" spans="1:7" x14ac:dyDescent="0.25">
      <c r="A1" s="5"/>
      <c r="B1" s="68"/>
      <c r="C1" s="289"/>
      <c r="D1" s="289"/>
      <c r="E1" s="290"/>
    </row>
    <row r="2" spans="1:7" x14ac:dyDescent="0.25">
      <c r="A2" s="6"/>
      <c r="B2" s="162"/>
      <c r="C2" s="291" t="s">
        <v>25</v>
      </c>
      <c r="D2" s="291"/>
      <c r="E2" s="292"/>
    </row>
    <row r="3" spans="1:7" x14ac:dyDescent="0.25">
      <c r="A3" s="6"/>
      <c r="B3" s="162"/>
      <c r="C3" s="163"/>
      <c r="D3" s="162"/>
      <c r="E3" s="164"/>
    </row>
    <row r="4" spans="1:7" x14ac:dyDescent="0.25">
      <c r="A4" s="6"/>
      <c r="B4" s="162"/>
      <c r="C4" s="165" t="s">
        <v>34</v>
      </c>
      <c r="D4" s="162" t="str">
        <f>MEMORIA!A3</f>
        <v>REFORMA DA UNIDADE DE PRONTO ATENDIMENTO DR. JAMIL SEBBA</v>
      </c>
      <c r="E4" s="164"/>
    </row>
    <row r="5" spans="1:7" x14ac:dyDescent="0.25">
      <c r="A5" s="6"/>
      <c r="B5" s="162"/>
      <c r="C5" s="165" t="s">
        <v>35</v>
      </c>
      <c r="D5" s="162" t="str">
        <f>MEMORIA!A4</f>
        <v>TABELA DE CUSTOS DE OBRAS CIVIS - T243 - Fevereiro/2024 - COM DESONERAÇÃO</v>
      </c>
      <c r="E5" s="164"/>
    </row>
    <row r="6" spans="1:7" x14ac:dyDescent="0.25">
      <c r="A6" s="6"/>
      <c r="B6" s="162"/>
      <c r="C6" s="165"/>
      <c r="D6" s="162" t="str">
        <f>ORÇAMENTO!A5</f>
        <v>COTAÇÃO DE MERCADO</v>
      </c>
      <c r="E6" s="164"/>
    </row>
    <row r="7" spans="1:7" ht="15.75" thickBot="1" x14ac:dyDescent="0.3">
      <c r="A7" s="18"/>
      <c r="B7" s="7"/>
      <c r="C7" s="69"/>
      <c r="D7" s="62"/>
      <c r="E7" s="166"/>
    </row>
    <row r="8" spans="1:7" ht="15.75" thickBot="1" x14ac:dyDescent="0.3">
      <c r="A8" s="167"/>
      <c r="B8" s="168"/>
      <c r="C8" s="169"/>
      <c r="D8" s="169"/>
      <c r="E8" s="170"/>
    </row>
    <row r="9" spans="1:7" ht="15.75" thickBot="1" x14ac:dyDescent="0.3">
      <c r="A9" s="300" t="s">
        <v>0</v>
      </c>
      <c r="B9" s="302" t="s">
        <v>26</v>
      </c>
      <c r="C9" s="303"/>
      <c r="D9" s="287" t="s">
        <v>27</v>
      </c>
      <c r="E9" s="288"/>
    </row>
    <row r="10" spans="1:7" x14ac:dyDescent="0.25">
      <c r="A10" s="301"/>
      <c r="B10" s="304"/>
      <c r="C10" s="304"/>
      <c r="D10" s="64" t="s">
        <v>28</v>
      </c>
      <c r="E10" s="64" t="s">
        <v>29</v>
      </c>
    </row>
    <row r="11" spans="1:7" x14ac:dyDescent="0.25">
      <c r="A11" s="305">
        <f>ORÇAMENTO!A9</f>
        <v>1</v>
      </c>
      <c r="B11" s="285" t="str">
        <f>ORÇAMENTO!A8</f>
        <v>GRUPO DE SERVIÇO: 164- SERVIÇOS PRELIMINARES</v>
      </c>
      <c r="C11" s="8"/>
      <c r="D11" s="70">
        <v>1</v>
      </c>
      <c r="E11" s="19"/>
      <c r="F11" s="65"/>
      <c r="G11" s="65"/>
    </row>
    <row r="12" spans="1:7" ht="8.4499999999999993" customHeight="1" x14ac:dyDescent="0.25">
      <c r="A12" s="305"/>
      <c r="B12" s="286"/>
      <c r="C12" s="9"/>
      <c r="D12" s="71"/>
      <c r="E12" s="17"/>
    </row>
    <row r="13" spans="1:7" ht="20.45" customHeight="1" x14ac:dyDescent="0.25">
      <c r="A13" s="305"/>
      <c r="B13" s="285"/>
      <c r="C13" s="10">
        <f>ORÇAMENTO!J15</f>
        <v>3756.12818535</v>
      </c>
      <c r="D13" s="11">
        <f>D11*$C$13</f>
        <v>3756.12818535</v>
      </c>
      <c r="E13" s="11"/>
      <c r="F13" s="4"/>
      <c r="G13" s="4"/>
    </row>
    <row r="14" spans="1:7" x14ac:dyDescent="0.25">
      <c r="A14" s="282">
        <f>ORÇAMENTO!A17</f>
        <v>2</v>
      </c>
      <c r="B14" s="279" t="str">
        <f>ORÇAMENTO!A16</f>
        <v>GRUPO DE SERVIÇO: 165- TRANSPORTES</v>
      </c>
      <c r="C14" s="8"/>
      <c r="D14" s="12">
        <v>0.8</v>
      </c>
      <c r="E14" s="12">
        <v>0.2</v>
      </c>
      <c r="F14" s="65"/>
      <c r="G14" s="65"/>
    </row>
    <row r="15" spans="1:7" ht="9" customHeight="1" x14ac:dyDescent="0.25">
      <c r="A15" s="283"/>
      <c r="B15" s="306"/>
      <c r="C15" s="13"/>
      <c r="D15" s="71"/>
      <c r="E15" s="71"/>
    </row>
    <row r="16" spans="1:7" x14ac:dyDescent="0.25">
      <c r="A16" s="284"/>
      <c r="B16" s="281"/>
      <c r="C16" s="10">
        <f>ORÇAMENTO!J19</f>
        <v>9206.4177991799988</v>
      </c>
      <c r="D16" s="11">
        <f>D14*$C$16</f>
        <v>7365.1342393439991</v>
      </c>
      <c r="E16" s="11">
        <f>E14*$C$16</f>
        <v>1841.2835598359998</v>
      </c>
      <c r="F16" s="4"/>
      <c r="G16" s="4"/>
    </row>
    <row r="17" spans="1:7" s="113" customFormat="1" x14ac:dyDescent="0.25">
      <c r="A17" s="282">
        <v>3</v>
      </c>
      <c r="B17" s="279" t="str">
        <f>ORÇAMENTO!A20</f>
        <v>GRUPO DE SERVIÇO:178- COBERTURAS</v>
      </c>
      <c r="C17" s="8"/>
      <c r="D17" s="12">
        <v>1</v>
      </c>
      <c r="E17" s="12">
        <v>0</v>
      </c>
      <c r="F17" s="4"/>
      <c r="G17" s="4"/>
    </row>
    <row r="18" spans="1:7" s="113" customFormat="1" x14ac:dyDescent="0.25">
      <c r="A18" s="283"/>
      <c r="B18" s="306"/>
      <c r="C18" s="13"/>
      <c r="D18" s="71"/>
      <c r="E18" s="71"/>
      <c r="F18" s="4"/>
      <c r="G18" s="4"/>
    </row>
    <row r="19" spans="1:7" s="113" customFormat="1" x14ac:dyDescent="0.25">
      <c r="A19" s="284"/>
      <c r="B19" s="281"/>
      <c r="C19" s="10">
        <f>ORÇAMENTO!J25</f>
        <v>20013.297920999998</v>
      </c>
      <c r="D19" s="11">
        <f>D17*$C$19</f>
        <v>20013.297920999998</v>
      </c>
      <c r="E19" s="11">
        <f>E17*$C$16</f>
        <v>0</v>
      </c>
      <c r="F19" s="4"/>
      <c r="G19" s="4"/>
    </row>
    <row r="20" spans="1:7" s="113" customFormat="1" x14ac:dyDescent="0.25">
      <c r="A20" s="282">
        <v>4</v>
      </c>
      <c r="B20" s="279" t="str">
        <f>ORÇAMENTO!A26</f>
        <v>GRUPO DE SERVIÇO:178- ESQUADRIAS DE MADEIRAS</v>
      </c>
      <c r="C20" s="8"/>
      <c r="D20" s="12">
        <v>0.2</v>
      </c>
      <c r="E20" s="12">
        <v>0.8</v>
      </c>
      <c r="F20" s="4"/>
      <c r="G20" s="4"/>
    </row>
    <row r="21" spans="1:7" s="113" customFormat="1" x14ac:dyDescent="0.25">
      <c r="A21" s="283"/>
      <c r="B21" s="306"/>
      <c r="C21" s="13"/>
      <c r="D21" s="71"/>
      <c r="E21" s="71"/>
      <c r="F21" s="4"/>
      <c r="G21" s="4"/>
    </row>
    <row r="22" spans="1:7" s="113" customFormat="1" x14ac:dyDescent="0.25">
      <c r="A22" s="284"/>
      <c r="B22" s="281"/>
      <c r="C22" s="10">
        <f>ORÇAMENTO!J32</f>
        <v>76485.096527850008</v>
      </c>
      <c r="D22" s="11">
        <f>D20*$C$22</f>
        <v>15297.019305570002</v>
      </c>
      <c r="E22" s="11">
        <f>E20*$C$22</f>
        <v>61188.077222280008</v>
      </c>
      <c r="F22" s="4"/>
      <c r="G22" s="4"/>
    </row>
    <row r="23" spans="1:7" ht="24" customHeight="1" x14ac:dyDescent="0.25">
      <c r="A23" s="305">
        <f>ORÇAMENTO!A34</f>
        <v>5</v>
      </c>
      <c r="B23" s="279" t="str">
        <f>ORÇAMENTO!A33</f>
        <v>GRUPO DE SERVIÇO:184-REVESTIMENTO DE PISO</v>
      </c>
      <c r="C23" s="8"/>
      <c r="D23" s="19">
        <v>0.3</v>
      </c>
      <c r="E23" s="19">
        <v>0.7</v>
      </c>
      <c r="F23" s="65"/>
      <c r="G23" s="65"/>
    </row>
    <row r="24" spans="1:7" ht="9" customHeight="1" x14ac:dyDescent="0.25">
      <c r="A24" s="305"/>
      <c r="B24" s="280"/>
      <c r="C24" s="15"/>
      <c r="D24" s="71"/>
      <c r="E24" s="71"/>
    </row>
    <row r="25" spans="1:7" ht="22.9" customHeight="1" x14ac:dyDescent="0.25">
      <c r="A25" s="305"/>
      <c r="B25" s="281"/>
      <c r="C25" s="16">
        <f>ORÇAMENTO!J38</f>
        <v>472949.51926050003</v>
      </c>
      <c r="D25" s="11">
        <f>D23*$C$25</f>
        <v>141884.85577815</v>
      </c>
      <c r="E25" s="11">
        <f>E23*$C$25</f>
        <v>331064.66348235001</v>
      </c>
      <c r="F25" s="4"/>
      <c r="G25" s="4"/>
    </row>
    <row r="26" spans="1:7" x14ac:dyDescent="0.25">
      <c r="A26" s="282">
        <f>ORÇAMENTO!A40</f>
        <v>6</v>
      </c>
      <c r="B26" s="285" t="str">
        <f>ORÇAMENTO!A39</f>
        <v>GRUPO DE SERVIÇO:187 ADMINISTRAÇÃO - MENSALISTAS</v>
      </c>
      <c r="C26" s="8"/>
      <c r="D26" s="19">
        <v>0.5</v>
      </c>
      <c r="E26" s="19">
        <v>0.5</v>
      </c>
      <c r="F26" s="65"/>
      <c r="G26" s="65"/>
    </row>
    <row r="27" spans="1:7" ht="8.4499999999999993" customHeight="1" x14ac:dyDescent="0.25">
      <c r="A27" s="283"/>
      <c r="B27" s="286"/>
      <c r="C27" s="14"/>
      <c r="D27" s="71"/>
      <c r="E27" s="71"/>
    </row>
    <row r="28" spans="1:7" ht="19.899999999999999" customHeight="1" x14ac:dyDescent="0.25">
      <c r="A28" s="284"/>
      <c r="B28" s="285"/>
      <c r="C28" s="10">
        <f>ORÇAMENTO!J43</f>
        <v>21042.415799999995</v>
      </c>
      <c r="D28" s="11">
        <f>D26*$C$28</f>
        <v>10521.207899999998</v>
      </c>
      <c r="E28" s="11">
        <f>E26*$C$28</f>
        <v>10521.207899999998</v>
      </c>
      <c r="F28" s="4"/>
      <c r="G28" s="4"/>
    </row>
    <row r="29" spans="1:7" ht="19.899999999999999" customHeight="1" x14ac:dyDescent="0.25">
      <c r="A29" s="282">
        <f>ORÇAMENTO!A45</f>
        <v>7</v>
      </c>
      <c r="B29" s="285" t="str">
        <f>ORÇAMENTO!A44</f>
        <v xml:space="preserve">GRUPO DE SERVIÇO:188- PINTURA </v>
      </c>
      <c r="C29" s="8"/>
      <c r="D29" s="19">
        <v>0.2</v>
      </c>
      <c r="E29" s="19">
        <v>0.8</v>
      </c>
      <c r="F29" s="65"/>
      <c r="G29" s="65"/>
    </row>
    <row r="30" spans="1:7" ht="9.6" customHeight="1" x14ac:dyDescent="0.25">
      <c r="A30" s="283"/>
      <c r="B30" s="286"/>
      <c r="C30" s="14"/>
      <c r="D30" s="71"/>
      <c r="E30" s="71"/>
    </row>
    <row r="31" spans="1:7" x14ac:dyDescent="0.25">
      <c r="A31" s="284"/>
      <c r="B31" s="285"/>
      <c r="C31" s="10">
        <f>ORÇAMENTO!J52</f>
        <v>141220.42159265999</v>
      </c>
      <c r="D31" s="11">
        <f>D29*$C$31</f>
        <v>28244.084318531997</v>
      </c>
      <c r="E31" s="11">
        <f>E29*$C$31</f>
        <v>112976.33727412799</v>
      </c>
      <c r="F31" s="4"/>
      <c r="G31" s="4"/>
    </row>
    <row r="32" spans="1:7" x14ac:dyDescent="0.25">
      <c r="A32" s="305">
        <f>ORÇAMENTO!A54</f>
        <v>8</v>
      </c>
      <c r="B32" s="285" t="str">
        <f>ORÇAMENTO!A53</f>
        <v>GRUPO DE SERVIÇO:189- DIVERSOS</v>
      </c>
      <c r="C32" s="8"/>
      <c r="D32" s="19"/>
      <c r="E32" s="19">
        <v>1</v>
      </c>
      <c r="F32" s="65"/>
      <c r="G32" s="65"/>
    </row>
    <row r="33" spans="1:7" ht="7.9" customHeight="1" x14ac:dyDescent="0.25">
      <c r="A33" s="305"/>
      <c r="B33" s="286"/>
      <c r="C33" s="14"/>
      <c r="D33" s="17"/>
      <c r="E33" s="71"/>
    </row>
    <row r="34" spans="1:7" ht="22.15" customHeight="1" x14ac:dyDescent="0.25">
      <c r="A34" s="305"/>
      <c r="B34" s="285"/>
      <c r="C34" s="10">
        <f>ORÇAMENTO!J56</f>
        <v>10261.337579999998</v>
      </c>
      <c r="D34" s="11"/>
      <c r="E34" s="11">
        <f>E32*$C$34</f>
        <v>10261.337579999998</v>
      </c>
      <c r="F34" s="4"/>
      <c r="G34" s="4"/>
    </row>
    <row r="35" spans="1:7" ht="15.75" thickBot="1" x14ac:dyDescent="0.3">
      <c r="A35" s="20"/>
      <c r="B35" s="295"/>
      <c r="C35" s="295"/>
      <c r="D35" s="295"/>
      <c r="E35" s="295"/>
    </row>
    <row r="36" spans="1:7" x14ac:dyDescent="0.25">
      <c r="A36" s="296" t="s">
        <v>30</v>
      </c>
      <c r="B36" s="297"/>
      <c r="C36" s="297"/>
      <c r="D36" s="22">
        <f>D39/E39</f>
        <v>0.3007965421380483</v>
      </c>
      <c r="E36" s="22">
        <f>E38/E39</f>
        <v>0.6992034578619517</v>
      </c>
    </row>
    <row r="37" spans="1:7" x14ac:dyDescent="0.25">
      <c r="A37" s="298" t="s">
        <v>31</v>
      </c>
      <c r="B37" s="299"/>
      <c r="C37" s="299"/>
      <c r="D37" s="23">
        <f>D36</f>
        <v>0.3007965421380483</v>
      </c>
      <c r="E37" s="23">
        <f>D37+E36</f>
        <v>1</v>
      </c>
    </row>
    <row r="38" spans="1:7" x14ac:dyDescent="0.25">
      <c r="A38" s="298" t="s">
        <v>32</v>
      </c>
      <c r="B38" s="299"/>
      <c r="C38" s="299"/>
      <c r="D38" s="24">
        <f>D13+D16+D25+D28+D31+D34+D19+D22</f>
        <v>227081.72764794598</v>
      </c>
      <c r="E38" s="24">
        <f>E13+E16+E25+E28+E31+E34+E22+E19</f>
        <v>527852.90701859398</v>
      </c>
    </row>
    <row r="39" spans="1:7" ht="15.75" thickBot="1" x14ac:dyDescent="0.3">
      <c r="A39" s="293" t="s">
        <v>33</v>
      </c>
      <c r="B39" s="294"/>
      <c r="C39" s="294"/>
      <c r="D39" s="25">
        <f>D38</f>
        <v>227081.72764794598</v>
      </c>
      <c r="E39" s="25">
        <f>D39+E38</f>
        <v>754934.63466653996</v>
      </c>
      <c r="F39" s="21"/>
    </row>
    <row r="41" spans="1:7" s="113" customFormat="1" x14ac:dyDescent="0.25">
      <c r="B41" s="3"/>
    </row>
    <row r="42" spans="1:7" x14ac:dyDescent="0.25">
      <c r="C42" s="21"/>
    </row>
    <row r="43" spans="1:7" x14ac:dyDescent="0.25">
      <c r="B43" s="223" t="s">
        <v>36</v>
      </c>
      <c r="C43" s="223"/>
      <c r="D43" s="223"/>
    </row>
  </sheetData>
  <mergeCells count="27">
    <mergeCell ref="A14:A16"/>
    <mergeCell ref="B14:B16"/>
    <mergeCell ref="A17:A19"/>
    <mergeCell ref="B17:B19"/>
    <mergeCell ref="A20:A22"/>
    <mergeCell ref="B20:B22"/>
    <mergeCell ref="B43:D43"/>
    <mergeCell ref="D9:E9"/>
    <mergeCell ref="C1:E1"/>
    <mergeCell ref="C2:E2"/>
    <mergeCell ref="A39:C39"/>
    <mergeCell ref="B35:E35"/>
    <mergeCell ref="A36:C36"/>
    <mergeCell ref="A37:C37"/>
    <mergeCell ref="A38:C38"/>
    <mergeCell ref="A9:A10"/>
    <mergeCell ref="B9:C10"/>
    <mergeCell ref="A11:A13"/>
    <mergeCell ref="B11:B13"/>
    <mergeCell ref="A32:A34"/>
    <mergeCell ref="B32:B34"/>
    <mergeCell ref="A23:A25"/>
    <mergeCell ref="B23:B25"/>
    <mergeCell ref="A26:A28"/>
    <mergeCell ref="B26:B28"/>
    <mergeCell ref="A29:A31"/>
    <mergeCell ref="B29:B31"/>
  </mergeCells>
  <phoneticPr fontId="8" type="noConversion"/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BDI(24,65%)</vt:lpstr>
      <vt:lpstr>ORÇAMENTO</vt:lpstr>
      <vt:lpstr>COMPOSIÇÃO </vt:lpstr>
      <vt:lpstr>MEMORIA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Iandra A.</dc:creator>
  <cp:keywords/>
  <dc:description/>
  <cp:lastModifiedBy>Usuario</cp:lastModifiedBy>
  <cp:revision/>
  <cp:lastPrinted>2024-07-03T19:16:18Z</cp:lastPrinted>
  <dcterms:created xsi:type="dcterms:W3CDTF">2015-06-05T18:19:34Z</dcterms:created>
  <dcterms:modified xsi:type="dcterms:W3CDTF">2024-07-03T19:16:21Z</dcterms:modified>
  <cp:category/>
  <cp:contentStatus/>
</cp:coreProperties>
</file>