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09559c73102cec3/Secretaria Municipal de Educação Catalão/2 - Processos em ANDAMENTO/MURO - MARIA CONCEIÇÃO - STO ANTONIO/"/>
    </mc:Choice>
  </mc:AlternateContent>
  <xr:revisionPtr revIDLastSave="1041" documentId="8_{C71222D9-7255-49D7-A06D-A627B022DB22}" xr6:coauthVersionLast="47" xr6:coauthVersionMax="47" xr10:uidLastSave="{120E81A4-9826-447E-8A7A-B13D613F221A}"/>
  <bookViews>
    <workbookView xWindow="-120" yWindow="-120" windowWidth="20730" windowHeight="11160" tabRatio="507" activeTab="1" xr2:uid="{00000000-000D-0000-FFFF-FFFF00000000}"/>
  </bookViews>
  <sheets>
    <sheet name="MEMÓRIA DE CÁLCULO" sheetId="6" r:id="rId1"/>
    <sheet name="ORÇAMENTO " sheetId="5" r:id="rId2"/>
  </sheets>
  <definedNames>
    <definedName name="_xlnm.Print_Area" localSheetId="0">'MEMÓRIA DE CÁLCULO'!$A$1:$I$125</definedName>
    <definedName name="_xlnm.Print_Area" localSheetId="1">'ORÇAMENTO '!$B$1:$J$97</definedName>
    <definedName name="VALOR_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H17" i="6"/>
  <c r="E51" i="5"/>
  <c r="H67" i="6"/>
  <c r="F48" i="6"/>
  <c r="F24" i="6"/>
  <c r="H24" i="6" s="1"/>
  <c r="E55" i="5"/>
  <c r="D55" i="5"/>
  <c r="H83" i="6"/>
  <c r="H82" i="6" s="1"/>
  <c r="G55" i="5" s="1"/>
  <c r="J55" i="5" s="1"/>
  <c r="D49" i="5"/>
  <c r="D50" i="5"/>
  <c r="D42" i="5"/>
  <c r="D37" i="5"/>
  <c r="H113" i="6"/>
  <c r="E54" i="5"/>
  <c r="D54" i="5"/>
  <c r="H81" i="6"/>
  <c r="H80" i="6" s="1"/>
  <c r="G54" i="5" s="1"/>
  <c r="J54" i="5" s="1"/>
  <c r="D53" i="5"/>
  <c r="E53" i="5"/>
  <c r="H66" i="6"/>
  <c r="G45" i="5" s="1"/>
  <c r="J45" i="5" s="1"/>
  <c r="F37" i="6"/>
  <c r="H37" i="6" s="1"/>
  <c r="F35" i="6"/>
  <c r="H35" i="6" s="1"/>
  <c r="E43" i="5"/>
  <c r="E44" i="5"/>
  <c r="E45" i="5"/>
  <c r="D43" i="5"/>
  <c r="D44" i="5"/>
  <c r="D45" i="5"/>
  <c r="G65" i="6"/>
  <c r="F65" i="6"/>
  <c r="G63" i="6"/>
  <c r="F63" i="6"/>
  <c r="F61" i="6"/>
  <c r="H61" i="6" s="1"/>
  <c r="H60" i="6" s="1"/>
  <c r="H59" i="6"/>
  <c r="H58" i="6" s="1"/>
  <c r="F56" i="6"/>
  <c r="H56" i="6" s="1"/>
  <c r="F54" i="6"/>
  <c r="F52" i="6"/>
  <c r="H52" i="6" s="1"/>
  <c r="H50" i="6"/>
  <c r="F43" i="6"/>
  <c r="H43" i="6" s="1"/>
  <c r="F41" i="6"/>
  <c r="H41" i="6" s="1"/>
  <c r="F39" i="6"/>
  <c r="H39" i="6" s="1"/>
  <c r="D26" i="5"/>
  <c r="D22" i="5"/>
  <c r="H63" i="6" l="1"/>
  <c r="H62" i="6" s="1"/>
  <c r="G43" i="5" s="1"/>
  <c r="J43" i="5" s="1"/>
  <c r="H65" i="6"/>
  <c r="H64" i="6" s="1"/>
  <c r="G44" i="5" s="1"/>
  <c r="J44" i="5" s="1"/>
  <c r="H112" i="6"/>
  <c r="G82" i="5" s="1"/>
  <c r="H109" i="6"/>
  <c r="H91" i="6"/>
  <c r="H105" i="6"/>
  <c r="H104" i="6" s="1"/>
  <c r="H30" i="6"/>
  <c r="H29" i="6" s="1"/>
  <c r="H28" i="6"/>
  <c r="F15" i="6"/>
  <c r="H15" i="6" s="1"/>
  <c r="D29" i="5" l="1"/>
  <c r="H18" i="6" l="1"/>
  <c r="D12" i="5"/>
  <c r="E82" i="5"/>
  <c r="E83" i="5"/>
  <c r="D83" i="5"/>
  <c r="D82" i="5"/>
  <c r="E78" i="5"/>
  <c r="D78" i="5"/>
  <c r="E74" i="5"/>
  <c r="D74" i="5"/>
  <c r="E70" i="5"/>
  <c r="D70" i="5"/>
  <c r="E69" i="5"/>
  <c r="D69" i="5"/>
  <c r="E68" i="5"/>
  <c r="D68" i="5"/>
  <c r="E67" i="5"/>
  <c r="D67" i="5"/>
  <c r="E63" i="5"/>
  <c r="D63" i="5"/>
  <c r="E59" i="5"/>
  <c r="D59" i="5"/>
  <c r="E52" i="5"/>
  <c r="D52" i="5"/>
  <c r="D51" i="5"/>
  <c r="E50" i="5"/>
  <c r="E49" i="5"/>
  <c r="E42" i="5"/>
  <c r="E41" i="5"/>
  <c r="D41" i="5"/>
  <c r="E39" i="5"/>
  <c r="D39" i="5"/>
  <c r="E38" i="5"/>
  <c r="D38" i="5"/>
  <c r="E37" i="5"/>
  <c r="E36" i="5"/>
  <c r="D36" i="5"/>
  <c r="E35" i="5"/>
  <c r="D35" i="5"/>
  <c r="E30" i="5"/>
  <c r="D30" i="5"/>
  <c r="E29" i="5"/>
  <c r="E28" i="5"/>
  <c r="D28" i="5"/>
  <c r="E27" i="5"/>
  <c r="D27" i="5"/>
  <c r="E26" i="5"/>
  <c r="E22" i="5"/>
  <c r="E21" i="5"/>
  <c r="D21" i="5"/>
  <c r="E17" i="5"/>
  <c r="D17" i="5"/>
  <c r="E13" i="5"/>
  <c r="D13" i="5"/>
  <c r="E12" i="5"/>
  <c r="E11" i="5"/>
  <c r="D11" i="5"/>
  <c r="H22" i="6" l="1"/>
  <c r="G17" i="5"/>
  <c r="H40" i="6"/>
  <c r="G29" i="5" s="1"/>
  <c r="H115" i="6" l="1"/>
  <c r="H114" i="6" s="1"/>
  <c r="G83" i="5" s="1"/>
  <c r="J83" i="5" s="1"/>
  <c r="H108" i="6"/>
  <c r="G74" i="5"/>
  <c r="J74" i="5" s="1"/>
  <c r="H101" i="6"/>
  <c r="H99" i="6"/>
  <c r="H97" i="6"/>
  <c r="H95" i="6"/>
  <c r="H87" i="6"/>
  <c r="H86" i="6" s="1"/>
  <c r="G59" i="5" s="1"/>
  <c r="H79" i="6"/>
  <c r="H78" i="6" s="1"/>
  <c r="G53" i="5" s="1"/>
  <c r="J53" i="5" s="1"/>
  <c r="H77" i="6"/>
  <c r="H76" i="6" s="1"/>
  <c r="H75" i="6"/>
  <c r="H73" i="6"/>
  <c r="H72" i="6" s="1"/>
  <c r="G50" i="5" s="1"/>
  <c r="H71" i="6"/>
  <c r="H70" i="6" s="1"/>
  <c r="G52" i="5"/>
  <c r="H48" i="6"/>
  <c r="H47" i="6" s="1"/>
  <c r="H38" i="6"/>
  <c r="G28" i="5" s="1"/>
  <c r="H34" i="6"/>
  <c r="G26" i="5" s="1"/>
  <c r="G22" i="5"/>
  <c r="H23" i="6"/>
  <c r="H96" i="6" l="1"/>
  <c r="G13" i="5"/>
  <c r="G35" i="5"/>
  <c r="J35" i="5" s="1"/>
  <c r="H90" i="6"/>
  <c r="H94" i="6"/>
  <c r="G68" i="5" s="1"/>
  <c r="H98" i="6"/>
  <c r="H100" i="6"/>
  <c r="H16" i="6"/>
  <c r="G49" i="5"/>
  <c r="J49" i="5" s="1"/>
  <c r="G42" i="5"/>
  <c r="H51" i="6"/>
  <c r="H49" i="6"/>
  <c r="H14" i="6"/>
  <c r="H42" i="6"/>
  <c r="G30" i="5" s="1"/>
  <c r="H27" i="6"/>
  <c r="G21" i="5" s="1"/>
  <c r="J22" i="5"/>
  <c r="J50" i="5"/>
  <c r="H74" i="6"/>
  <c r="G51" i="5" s="1"/>
  <c r="J51" i="5" s="1"/>
  <c r="H36" i="6"/>
  <c r="G27" i="5" s="1"/>
  <c r="J52" i="5"/>
  <c r="H54" i="6"/>
  <c r="G37" i="5" l="1"/>
  <c r="J37" i="5" s="1"/>
  <c r="G36" i="5"/>
  <c r="J36" i="5" s="1"/>
  <c r="G70" i="5"/>
  <c r="J70" i="5" s="1"/>
  <c r="G69" i="5"/>
  <c r="J69" i="5" s="1"/>
  <c r="G78" i="5"/>
  <c r="J78" i="5" s="1"/>
  <c r="J82" i="5"/>
  <c r="G11" i="5"/>
  <c r="J11" i="5" s="1"/>
  <c r="G12" i="5"/>
  <c r="J12" i="5" s="1"/>
  <c r="J30" i="5"/>
  <c r="G63" i="5"/>
  <c r="G67" i="5"/>
  <c r="J67" i="5" s="1"/>
  <c r="J72" i="5"/>
  <c r="H55" i="6"/>
  <c r="G41" i="5" s="1"/>
  <c r="H53" i="6"/>
  <c r="J29" i="5"/>
  <c r="J28" i="5"/>
  <c r="J26" i="5"/>
  <c r="J21" i="5"/>
  <c r="J27" i="5"/>
  <c r="J17" i="5"/>
  <c r="J15" i="5" s="1"/>
  <c r="J13" i="5"/>
  <c r="J42" i="5"/>
  <c r="J68" i="5"/>
  <c r="J59" i="5"/>
  <c r="G39" i="5" l="1"/>
  <c r="J39" i="5" s="1"/>
  <c r="G38" i="5"/>
  <c r="J38" i="5" s="1"/>
  <c r="J9" i="5"/>
  <c r="J19" i="5"/>
  <c r="J80" i="5"/>
  <c r="J24" i="5"/>
  <c r="J76" i="5"/>
  <c r="J47" i="5"/>
  <c r="J57" i="5"/>
  <c r="J65" i="5"/>
  <c r="J41" i="5"/>
  <c r="J63" i="5"/>
  <c r="J32" i="5" l="1"/>
  <c r="J61" i="5"/>
  <c r="J86" i="5" l="1"/>
  <c r="K54" i="5" l="1"/>
  <c r="K45" i="5"/>
  <c r="K55" i="5"/>
  <c r="K43" i="5"/>
  <c r="K44" i="5"/>
  <c r="K74" i="5"/>
  <c r="K52" i="5"/>
  <c r="K35" i="5"/>
  <c r="K83" i="5"/>
  <c r="K37" i="5"/>
  <c r="K49" i="5"/>
  <c r="K22" i="5"/>
  <c r="K11" i="5"/>
  <c r="K51" i="5"/>
  <c r="K50" i="5"/>
  <c r="K27" i="5"/>
  <c r="K17" i="5"/>
  <c r="K26" i="5"/>
  <c r="K28" i="5"/>
  <c r="K67" i="5"/>
  <c r="K53" i="5"/>
  <c r="K70" i="5"/>
  <c r="K42" i="5"/>
  <c r="K38" i="5"/>
  <c r="K29" i="5"/>
  <c r="K36" i="5"/>
  <c r="K21" i="5"/>
  <c r="K78" i="5"/>
  <c r="K68" i="5"/>
  <c r="K69" i="5"/>
  <c r="K59" i="5"/>
  <c r="K82" i="5"/>
  <c r="K12" i="5"/>
  <c r="K13" i="5"/>
  <c r="K30" i="5"/>
  <c r="K39" i="5"/>
  <c r="K41" i="5"/>
  <c r="K24" i="5"/>
  <c r="K19" i="5"/>
  <c r="K9" i="5"/>
  <c r="K63" i="5"/>
  <c r="K15" i="5"/>
  <c r="J87" i="5"/>
  <c r="J88" i="5" s="1"/>
</calcChain>
</file>

<file path=xl/sharedStrings.xml><?xml version="1.0" encoding="utf-8"?>
<sst xmlns="http://schemas.openxmlformats.org/spreadsheetml/2006/main" count="501" uniqueCount="211">
  <si>
    <t>SECRETARIA MUNICIPAL DE EDUCAÇÃO</t>
  </si>
  <si>
    <t xml:space="preserve">  </t>
  </si>
  <si>
    <t>CONSTRUÇÃO DO MURO - ESCOLA MUNICIPAL MARIA CONCEIÇÃO MARTINS SILVA</t>
  </si>
  <si>
    <t xml:space="preserve">                                                      RUA JURACI PONTES - SANTO ANTÔNIO DO RIO VERDE-GO</t>
  </si>
  <si>
    <t>MEMÓRIA DE CÁLCULO</t>
  </si>
  <si>
    <t>ITEM</t>
  </si>
  <si>
    <t xml:space="preserve">CÓDIGO </t>
  </si>
  <si>
    <t>UNID.</t>
  </si>
  <si>
    <t>GRUPO DE SERVIÇO 164: SERVIÇOS PRELIMINARES</t>
  </si>
  <si>
    <t>020000</t>
  </si>
  <si>
    <t>SERVIÇOS PRELIMINARES</t>
  </si>
  <si>
    <t>TOTAL</t>
  </si>
  <si>
    <t>1.1</t>
  </si>
  <si>
    <t xml:space="preserve">20130 </t>
  </si>
  <si>
    <t>DEMOLIÇÃO MANUAL DE ALAMBRADO - POSTE DE CONCRETO/TELA/VIGA COM
TRANSPORTE ATÉ CAÇAMBA E CARGA</t>
  </si>
  <si>
    <t>m</t>
  </si>
  <si>
    <t>COMPRIMENTO (M)</t>
  </si>
  <si>
    <t xml:space="preserve">Muro alambrado </t>
  </si>
  <si>
    <t>1.2</t>
  </si>
  <si>
    <t xml:space="preserve">21301 </t>
  </si>
  <si>
    <t>PLACA DE OBRA PLOTADA EM CHAPA METÁLICA 26 , AFIXADA EM CAVALETES DE MADEIRA DE LEI (VIGOTAS 6X12CM) - PADRÃO GOINFRA</t>
  </si>
  <si>
    <t>m²</t>
  </si>
  <si>
    <t>LARGURA (M)</t>
  </si>
  <si>
    <t>Placa de obra</t>
  </si>
  <si>
    <t>1.3</t>
  </si>
  <si>
    <t>20190</t>
  </si>
  <si>
    <t>LIMPEZA MECÂNICA DE TERRENO</t>
  </si>
  <si>
    <t xml:space="preserve">Terreno da escola </t>
  </si>
  <si>
    <t>GRUPO DE SERVIÇO: 165 - TRANSPORTES</t>
  </si>
  <si>
    <t>030000</t>
  </si>
  <si>
    <t>TRANSPORTES</t>
  </si>
  <si>
    <t>2.1</t>
  </si>
  <si>
    <t xml:space="preserve">TRANSPORTE DE ENTULHO CAÇAMBA ESTACIONÁRIA SEM CARGA </t>
  </si>
  <si>
    <t>m³</t>
  </si>
  <si>
    <t>DIMENSÕES</t>
  </si>
  <si>
    <t>ÁREA (M²)</t>
  </si>
  <si>
    <t>ESPESSURA (M)</t>
  </si>
  <si>
    <t>Demolição Alambrado</t>
  </si>
  <si>
    <t>GRUPO DE SERVIÇO: 166 - SERVIÇOS EM TERRA</t>
  </si>
  <si>
    <t>040000</t>
  </si>
  <si>
    <t>SERVIÇOS EM TERRA</t>
  </si>
  <si>
    <t>3.1</t>
  </si>
  <si>
    <t>ESCAVAÇÃO MANUAL DE VALAS PROF.1 A 2 M</t>
  </si>
  <si>
    <t>3.2</t>
  </si>
  <si>
    <t xml:space="preserve">40902 </t>
  </si>
  <si>
    <t>REATERRO COM APILOAMENTO</t>
  </si>
  <si>
    <t>GRUPO DE SERVIÇO: 167 - FUNDAÇÕES E SONDAGENS</t>
  </si>
  <si>
    <t>050000</t>
  </si>
  <si>
    <t>FUNDAÇÕES E SONDAGENS</t>
  </si>
  <si>
    <t>ESTACAS</t>
  </si>
  <si>
    <t xml:space="preserve"> TOTAL</t>
  </si>
  <si>
    <t>4.1</t>
  </si>
  <si>
    <t xml:space="preserve">50301 </t>
  </si>
  <si>
    <t>ESTACA A TRADO DIAM.25 CM SEM FERRO</t>
  </si>
  <si>
    <t>ALTURA (M)</t>
  </si>
  <si>
    <t>Estacas para fundação (U=91)</t>
  </si>
  <si>
    <t>4.2</t>
  </si>
  <si>
    <t>PREPARO COM BETONEIRA E TRANSPORTE MANUAL DE CONCRETO PARA LASTRO - (O.C.)</t>
  </si>
  <si>
    <t>4.3</t>
  </si>
  <si>
    <t>AÇO CA 50-A - 8,0 MM (5/16") - (OBRAS CIVIS)</t>
  </si>
  <si>
    <t>KG</t>
  </si>
  <si>
    <t>DENSIDADE</t>
  </si>
  <si>
    <t>Pilares fundação (U=91)</t>
  </si>
  <si>
    <t>4.4</t>
  </si>
  <si>
    <t xml:space="preserve">AÇO CA-60 - 5,0 MM - (OBRAS CIVIS) </t>
  </si>
  <si>
    <t>Estribos  (U=91)</t>
  </si>
  <si>
    <t>4.5</t>
  </si>
  <si>
    <t>CONCRETO USINADO CONVENCIONAL FCK=25 MPA COM TRANSPORTE MANUAL (O.C.) (ESTACAS)</t>
  </si>
  <si>
    <t>GRUPO DE SERVIÇO: 168 - ESTRUTURA</t>
  </si>
  <si>
    <t>060000</t>
  </si>
  <si>
    <t>ESTRUTURA</t>
  </si>
  <si>
    <t>VIGA BALDRAME</t>
  </si>
  <si>
    <t>5.1</t>
  </si>
  <si>
    <t>FORMA DE TÁBUA CINTA BALDRAME U=8 VEZES</t>
  </si>
  <si>
    <t>Forma (U=2)</t>
  </si>
  <si>
    <t>5.2</t>
  </si>
  <si>
    <t>60304</t>
  </si>
  <si>
    <t>AÇO CA-50A - 8,0 MM (5/16") - (OBRAS CIVIS)</t>
  </si>
  <si>
    <t>kg</t>
  </si>
  <si>
    <t>Viga baldrame U=4</t>
  </si>
  <si>
    <t>5.3</t>
  </si>
  <si>
    <t>AÇO CA - 60A - 5,0 MM - (OBRAS CIVIS)</t>
  </si>
  <si>
    <t>Estribos</t>
  </si>
  <si>
    <t>5.4</t>
  </si>
  <si>
    <t>PREPARO COM BETONEIRA E TRANSPORTE MANUAL DE CONCRETO FCK=25 MPA</t>
  </si>
  <si>
    <t>ÁREA SEÇÃO (M²)</t>
  </si>
  <si>
    <t>Viga Baldrame</t>
  </si>
  <si>
    <t>5.5</t>
  </si>
  <si>
    <t>LANÇAMENTO/APLICAÇÃO/ADENSAMENTO MANUAL DE CONCRETO - (OBRAS CIVIS)</t>
  </si>
  <si>
    <t>Pilares U=91</t>
  </si>
  <si>
    <t>5.6</t>
  </si>
  <si>
    <t xml:space="preserve">Pilares </t>
  </si>
  <si>
    <t>5.7</t>
  </si>
  <si>
    <t>5.8</t>
  </si>
  <si>
    <t>Pilares</t>
  </si>
  <si>
    <t>5.9</t>
  </si>
  <si>
    <t>5.10</t>
  </si>
  <si>
    <t>FORMA CH.COMPENSADA 12MM-VIGA/PILAR U=4V - (OBRAS CIVIS)</t>
  </si>
  <si>
    <t>Forma (Unid 2)</t>
  </si>
  <si>
    <t>GRUPO DE SERVIÇO: 169 - INST.ELÉT./TELEFÔNICA/ACABAMENTO ESTRUTURADO</t>
  </si>
  <si>
    <t>070000</t>
  </si>
  <si>
    <t>INST. ELÉT./TELEFÔNICA/ACABEAMENTO ESTRUTURADO</t>
  </si>
  <si>
    <t>6.1</t>
  </si>
  <si>
    <t>70564</t>
  </si>
  <si>
    <t>CABO ISOLADO PVC 750 V, No. 4 MM2 (AZUL)</t>
  </si>
  <si>
    <t>Vide projeto</t>
  </si>
  <si>
    <t>6.2</t>
  </si>
  <si>
    <t>CABO ISOLADO PVC 750 V, No. 4 MM2 (PRETO)</t>
  </si>
  <si>
    <t>6.3</t>
  </si>
  <si>
    <t>CABO ISOLADO PVC 750 V, No. 4 MM2 (VERDE)</t>
  </si>
  <si>
    <t>6.4</t>
  </si>
  <si>
    <t>ELETRODUTO PVC FLEXÍVEL - MANGUEIRA CORRUGADA LEVE - DIAM. 25MM</t>
  </si>
  <si>
    <t>6.5</t>
  </si>
  <si>
    <t>91985</t>
  </si>
  <si>
    <t>INTERRUPTOR PULSADOR CAMPAINHA (1 MÓDULO), 10A/250V, INCLUINDO SUPORTE E PLACA</t>
  </si>
  <si>
    <t>und</t>
  </si>
  <si>
    <t>UNIDADE</t>
  </si>
  <si>
    <t>6.6</t>
  </si>
  <si>
    <t>91986</t>
  </si>
  <si>
    <t>CAMPAINHA CIGARRA (1 MÓDULO), 10A/250V, INCLUINDO SUPORTE E PLACA</t>
  </si>
  <si>
    <t>6.7</t>
  </si>
  <si>
    <t>70603</t>
  </si>
  <si>
    <t>CABO TELEFONICO CCI-50 3 PARES</t>
  </si>
  <si>
    <t xml:space="preserve">GRUPO DE SERVIÇO: 172 - ALVENARIA E DIVISÓRIA </t>
  </si>
  <si>
    <t>7</t>
  </si>
  <si>
    <t>ALVENARIA E DIVISÓRIA</t>
  </si>
  <si>
    <t>7.1</t>
  </si>
  <si>
    <t>ALVENARIA DE TIJOLO FURADO 1/2 VEZ 14X29X9 - 6 FUROS - ARG. (1CALH:4ARML+100KG DE CI/M3)</t>
  </si>
  <si>
    <t>Muro</t>
  </si>
  <si>
    <t>GRUPO DE SERVIÇO: 174 - IMPERMEABILIZAÇÃO</t>
  </si>
  <si>
    <t>8</t>
  </si>
  <si>
    <t>IMPERMEABILIZAÇÃO</t>
  </si>
  <si>
    <t>8.1</t>
  </si>
  <si>
    <t xml:space="preserve">120902 </t>
  </si>
  <si>
    <t xml:space="preserve">IMPERMEABILIZACAO VIGAS BALDRAMES E=2,0 CM </t>
  </si>
  <si>
    <t>Baldrame</t>
  </si>
  <si>
    <t>GRUPO DE SERVIÇO: 182 - REVESTIMENTO DE PAREDES</t>
  </si>
  <si>
    <t>9</t>
  </si>
  <si>
    <t>REVESTIMENTO DE PAREDE</t>
  </si>
  <si>
    <t>9.1</t>
  </si>
  <si>
    <t>CHAPISCO COMUM</t>
  </si>
  <si>
    <t>9.2</t>
  </si>
  <si>
    <t>EMBOÇO (1CI:4 ARML)</t>
  </si>
  <si>
    <t>ALTURA(M)</t>
  </si>
  <si>
    <t>9.3</t>
  </si>
  <si>
    <t>REBOCO (1 CALH:4 ARFC+100kgCI/M3)</t>
  </si>
  <si>
    <t>9.4</t>
  </si>
  <si>
    <t>MOLDURA TIPO "U" INVERTIDO EM ARGAMASSA COM 2CM DE ESPESSURA TIPO PINGADEIRA EM MURO/PLATIBANDA ( A PARTE VERTICAL DESCE 2,5CM)</t>
  </si>
  <si>
    <t>GRUPO DE SERVIÇO: 187 - ADMINISTRAÇÃO - MENSALISTAS</t>
  </si>
  <si>
    <t>10</t>
  </si>
  <si>
    <t>250000</t>
  </si>
  <si>
    <t>ADMINISTRAÇÃO - MENSALISTAS</t>
  </si>
  <si>
    <t>10.1</t>
  </si>
  <si>
    <t xml:space="preserve">250102 </t>
  </si>
  <si>
    <t>MESTRE DE OBRA - (OBRAS CIVIS)</t>
  </si>
  <si>
    <t>H</t>
  </si>
  <si>
    <t>Tempo</t>
  </si>
  <si>
    <t>8h por dia</t>
  </si>
  <si>
    <t>h</t>
  </si>
  <si>
    <t>GRUPO DE SERVIÇO: 186 - PINTURA</t>
  </si>
  <si>
    <t>11</t>
  </si>
  <si>
    <t>PINTURA</t>
  </si>
  <si>
    <t>11.1</t>
  </si>
  <si>
    <t xml:space="preserve">PINTURA LATEX ACRILICO 2 DEMAOS </t>
  </si>
  <si>
    <t>GRUPO DE SERVIÇO: 187 - DIVERSOS</t>
  </si>
  <si>
    <t>12</t>
  </si>
  <si>
    <t>DIVERSOS</t>
  </si>
  <si>
    <t>12.1</t>
  </si>
  <si>
    <t>LIMPEZA FINAL DE OBRA - (OBRAS CIVIS)</t>
  </si>
  <si>
    <t>Área total da construção</t>
  </si>
  <si>
    <t>12.2</t>
  </si>
  <si>
    <t>COMPOSIÇÃO 1</t>
  </si>
  <si>
    <t>CONCERTINA CLIPADA (DUPLA) EM ACO GALVANIZADO DE ALTA RESISTENCIA, COM ESPIRAL DE 300 MM, D = 2,76 MM</t>
  </si>
  <si>
    <t>Elaborado por:</t>
  </si>
  <si>
    <t>________________________________</t>
  </si>
  <si>
    <t>Drielid Alves Rocha</t>
  </si>
  <si>
    <t>CREA: 1017426910/D-GO</t>
  </si>
  <si>
    <t>CONSTRUÇÃO DE MURO - ESCOLA MUNICIPAL MARIA CONCEIÇÃO MARTINS SILVA</t>
  </si>
  <si>
    <t>RUA JURACI PONTES - SANTO ANTÔNIO DO RIO VERDE-GO</t>
  </si>
  <si>
    <t>PLANILHA ORÇAMENTÁRIA</t>
  </si>
  <si>
    <t>TABELA</t>
  </si>
  <si>
    <t xml:space="preserve">CÓD. </t>
  </si>
  <si>
    <t xml:space="preserve">DESCRIÇÃO </t>
  </si>
  <si>
    <t>QUANTIDADE</t>
  </si>
  <si>
    <t>MATERIAL</t>
  </si>
  <si>
    <t>MÃO DE OBRA</t>
  </si>
  <si>
    <t>GOINFRA</t>
  </si>
  <si>
    <t>GRUPO DE SERVIÇO 165: TRANSPORTES</t>
  </si>
  <si>
    <t>GRUPO DE SERVIÇO 166: SERVIÇOS EM TERRA</t>
  </si>
  <si>
    <t>GRUPO DE SERVIÇO 167: FUNDAÇÕES E SONDAGENS</t>
  </si>
  <si>
    <t>GRUPO DE SERVIÇO 168: ESTRUTURAS</t>
  </si>
  <si>
    <t>ESTRUTURAS</t>
  </si>
  <si>
    <t>PILARES</t>
  </si>
  <si>
    <t>GRUPO DE SERVIÇO 169: INST. ELÉT./TELEFÔNICA/CABEAMENTO ESTRUTURADO</t>
  </si>
  <si>
    <t xml:space="preserve"> INST. ELÉT./TELEFÔNICA/CABEAMENTO ESTRUTURADO</t>
  </si>
  <si>
    <t>SINAPI</t>
  </si>
  <si>
    <t>GRUPO DE SERVIÇO 172: ALVENARIAS E DIVISÓRIAS</t>
  </si>
  <si>
    <t>ALVENARIAS E DIVISÓRIAS</t>
  </si>
  <si>
    <t>GRUPO DE SERVIÇO 174: IMPERMEABILIZAÇÃO</t>
  </si>
  <si>
    <t>GRUPO DE SERVIÇO 182: REVESTIMENTO DE PAREDES</t>
  </si>
  <si>
    <t>GRUPO DE SERVIÇO: 185 - ADMINISTRAÇÃO - MENSALISTAS</t>
  </si>
  <si>
    <t>TOTAIS</t>
  </si>
  <si>
    <t>TOTAL :</t>
  </si>
  <si>
    <t>BDI (23,88):</t>
  </si>
  <si>
    <t>TOTAL COM BDI :</t>
  </si>
  <si>
    <t>Aprovado por:</t>
  </si>
  <si>
    <t>______________________________________</t>
  </si>
  <si>
    <t>Leonardo Pereira Santa Cecília</t>
  </si>
  <si>
    <t>Secretário Municipal de Educação</t>
  </si>
  <si>
    <t>TABELA 205 GOINFRA -  (JULHO/2023) CUSTOS DE OBRAS CIVIS - COM DESONERAÇÃO</t>
  </si>
  <si>
    <t>TABELA SINAPI -  (AGOSTO/2023) - DESONERADA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</si>
</sst>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-&quot;R$&quot;* #,##0.00_-;\-&quot;R$&quot;* #,##0.00_-;_-&quot;R$&quot;* &quot;-&quot;??_-;_-@_-"/>
    <numFmt numFmtId="166" formatCode="_(&quot;R$ &quot;* #,##0.00_);_(&quot;R$ &quot;* \(#,##0.00\);_(&quot;R$ &quot;* &quot;-&quot;??_);_(@_)"/>
    <numFmt numFmtId="167" formatCode="0.000"/>
    <numFmt numFmtId="168" formatCode="&quot;R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2" tint="-0.2499771111178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thin">
        <color theme="2" tint="-0.249977111117893"/>
      </top>
      <bottom style="thin">
        <color indexed="64"/>
      </bottom>
      <diagonal/>
    </border>
    <border>
      <left/>
      <right style="medium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6">
    <xf numFmtId="0" fontId="0" fillId="0" borderId="0" xfId="0"/>
    <xf numFmtId="2" fontId="3" fillId="2" borderId="15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3" fillId="2" borderId="0" xfId="0" applyNumberFormat="1" applyFont="1" applyFill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65" fontId="3" fillId="0" borderId="0" xfId="1" applyFont="1" applyBorder="1" applyAlignment="1">
      <alignment horizontal="left" vertical="center"/>
    </xf>
    <xf numFmtId="165" fontId="3" fillId="0" borderId="0" xfId="1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10" fontId="4" fillId="0" borderId="0" xfId="13" applyNumberFormat="1" applyFont="1" applyFill="1" applyAlignment="1">
      <alignment vertical="center"/>
    </xf>
    <xf numFmtId="165" fontId="4" fillId="5" borderId="13" xfId="1" applyFont="1" applyFill="1" applyBorder="1" applyAlignment="1">
      <alignment horizontal="center" vertical="center"/>
    </xf>
    <xf numFmtId="165" fontId="4" fillId="5" borderId="13" xfId="1" applyFont="1" applyFill="1" applyBorder="1" applyAlignment="1">
      <alignment horizontal="center" vertical="center" wrapText="1"/>
    </xf>
    <xf numFmtId="165" fontId="4" fillId="5" borderId="13" xfId="0" applyNumberFormat="1" applyFont="1" applyFill="1" applyBorder="1" applyAlignment="1">
      <alignment vertical="center"/>
    </xf>
    <xf numFmtId="165" fontId="4" fillId="5" borderId="1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2" quotePrefix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165" fontId="7" fillId="0" borderId="36" xfId="1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wrapText="1"/>
    </xf>
    <xf numFmtId="2" fontId="8" fillId="0" borderId="36" xfId="0" applyNumberFormat="1" applyFont="1" applyBorder="1" applyAlignment="1">
      <alignment horizontal="center" vertical="center"/>
    </xf>
    <xf numFmtId="165" fontId="7" fillId="0" borderId="36" xfId="1" applyFont="1" applyBorder="1" applyAlignment="1">
      <alignment horizontal="left" vertical="center" wrapText="1"/>
    </xf>
    <xf numFmtId="165" fontId="3" fillId="0" borderId="36" xfId="1" applyFont="1" applyBorder="1" applyAlignment="1">
      <alignment horizontal="left" vertical="center"/>
    </xf>
    <xf numFmtId="2" fontId="3" fillId="0" borderId="36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165" fontId="3" fillId="0" borderId="36" xfId="1" applyFont="1" applyFill="1" applyBorder="1" applyAlignment="1">
      <alignment horizontal="left" vertical="center"/>
    </xf>
    <xf numFmtId="2" fontId="3" fillId="2" borderId="36" xfId="0" applyNumberFormat="1" applyFont="1" applyFill="1" applyBorder="1" applyAlignment="1">
      <alignment horizontal="center" vertical="center"/>
    </xf>
    <xf numFmtId="165" fontId="3" fillId="2" borderId="36" xfId="0" applyNumberFormat="1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165" fontId="3" fillId="0" borderId="39" xfId="1" applyFont="1" applyFill="1" applyBorder="1" applyAlignment="1">
      <alignment horizontal="center" vertical="center"/>
    </xf>
    <xf numFmtId="165" fontId="7" fillId="0" borderId="39" xfId="1" applyFont="1" applyBorder="1" applyAlignment="1">
      <alignment horizontal="right" vertical="center" wrapText="1"/>
    </xf>
    <xf numFmtId="165" fontId="3" fillId="0" borderId="39" xfId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165" fontId="3" fillId="2" borderId="39" xfId="0" applyNumberFormat="1" applyFont="1" applyFill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5" fontId="3" fillId="0" borderId="40" xfId="1" applyFont="1" applyBorder="1" applyAlignment="1">
      <alignment horizontal="left" vertical="center"/>
    </xf>
    <xf numFmtId="2" fontId="10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2" fontId="3" fillId="0" borderId="0" xfId="1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5" fontId="3" fillId="0" borderId="1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165" fontId="3" fillId="0" borderId="0" xfId="1" applyFont="1" applyFill="1" applyBorder="1" applyAlignment="1">
      <alignment horizontal="left" vertical="center"/>
    </xf>
    <xf numFmtId="165" fontId="3" fillId="0" borderId="8" xfId="1" applyFont="1" applyFill="1" applyBorder="1" applyAlignment="1">
      <alignment horizontal="center" vertical="center" wrapText="1"/>
    </xf>
    <xf numFmtId="49" fontId="7" fillId="0" borderId="19" xfId="0" quotePrefix="1" applyNumberFormat="1" applyFont="1" applyBorder="1" applyAlignment="1">
      <alignment horizontal="center" vertical="center" wrapText="1"/>
    </xf>
    <xf numFmtId="165" fontId="7" fillId="0" borderId="0" xfId="1" applyFont="1" applyBorder="1" applyAlignment="1">
      <alignment horizontal="left" vertical="center" wrapText="1"/>
    </xf>
    <xf numFmtId="165" fontId="7" fillId="0" borderId="8" xfId="1" applyFont="1" applyBorder="1" applyAlignment="1">
      <alignment horizontal="right" vertical="center" wrapText="1"/>
    </xf>
    <xf numFmtId="165" fontId="3" fillId="0" borderId="1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7" fillId="0" borderId="0" xfId="1" applyFont="1" applyBorder="1" applyAlignment="1">
      <alignment horizontal="left" vertical="center"/>
    </xf>
    <xf numFmtId="165" fontId="3" fillId="0" borderId="8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2" fontId="3" fillId="0" borderId="40" xfId="0" applyNumberFormat="1" applyFont="1" applyBorder="1" applyAlignment="1">
      <alignment horizontal="center" vertical="center"/>
    </xf>
    <xf numFmtId="165" fontId="3" fillId="0" borderId="40" xfId="1" applyFont="1" applyFill="1" applyBorder="1" applyAlignment="1">
      <alignment horizontal="left" vertical="center"/>
    </xf>
    <xf numFmtId="165" fontId="3" fillId="0" borderId="44" xfId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vertical="center"/>
    </xf>
    <xf numFmtId="165" fontId="3" fillId="2" borderId="40" xfId="0" applyNumberFormat="1" applyFont="1" applyFill="1" applyBorder="1" applyAlignment="1">
      <alignment horizontal="left" vertical="center"/>
    </xf>
    <xf numFmtId="165" fontId="3" fillId="2" borderId="44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11" fillId="0" borderId="10" xfId="5" applyNumberFormat="1" applyFont="1" applyBorder="1" applyAlignment="1">
      <alignment horizontal="center" vertical="center" wrapText="1"/>
    </xf>
    <xf numFmtId="49" fontId="11" fillId="0" borderId="0" xfId="5" applyNumberFormat="1" applyFont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8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/>
    </xf>
    <xf numFmtId="2" fontId="8" fillId="0" borderId="40" xfId="0" applyNumberFormat="1" applyFont="1" applyBorder="1" applyAlignment="1">
      <alignment horizontal="center" vertical="center"/>
    </xf>
    <xf numFmtId="165" fontId="7" fillId="0" borderId="40" xfId="1" applyFont="1" applyBorder="1" applyAlignment="1">
      <alignment horizontal="left" vertical="center"/>
    </xf>
    <xf numFmtId="165" fontId="3" fillId="0" borderId="44" xfId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165" fontId="7" fillId="0" borderId="40" xfId="1" applyFont="1" applyBorder="1" applyAlignment="1">
      <alignment horizontal="left" vertical="center" wrapText="1"/>
    </xf>
    <xf numFmtId="165" fontId="7" fillId="0" borderId="44" xfId="1" applyFont="1" applyBorder="1" applyAlignment="1">
      <alignment horizontal="right"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2" fontId="7" fillId="0" borderId="40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165" fontId="3" fillId="0" borderId="40" xfId="0" applyNumberFormat="1" applyFont="1" applyBorder="1" applyAlignment="1">
      <alignment horizontal="left" vertical="center"/>
    </xf>
    <xf numFmtId="165" fontId="3" fillId="0" borderId="44" xfId="0" applyNumberFormat="1" applyFont="1" applyBorder="1" applyAlignment="1">
      <alignment vertical="center"/>
    </xf>
    <xf numFmtId="165" fontId="3" fillId="0" borderId="44" xfId="0" applyNumberFormat="1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 wrapText="1"/>
    </xf>
    <xf numFmtId="2" fontId="10" fillId="4" borderId="13" xfId="0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165" fontId="3" fillId="0" borderId="0" xfId="1" applyFont="1" applyFill="1" applyBorder="1" applyAlignment="1">
      <alignment vertical="center"/>
    </xf>
    <xf numFmtId="165" fontId="3" fillId="0" borderId="8" xfId="1" applyFont="1" applyFill="1" applyBorder="1" applyAlignment="1">
      <alignment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2" fontId="10" fillId="5" borderId="47" xfId="0" applyNumberFormat="1" applyFont="1" applyFill="1" applyBorder="1" applyAlignment="1">
      <alignment horizontal="center" vertical="center"/>
    </xf>
    <xf numFmtId="165" fontId="10" fillId="5" borderId="10" xfId="1" applyFont="1" applyFill="1" applyBorder="1" applyAlignment="1">
      <alignment horizontal="center" vertical="center"/>
    </xf>
    <xf numFmtId="165" fontId="10" fillId="5" borderId="47" xfId="1" applyFont="1" applyFill="1" applyBorder="1" applyAlignment="1">
      <alignment horizontal="center" vertical="center"/>
    </xf>
    <xf numFmtId="165" fontId="10" fillId="5" borderId="11" xfId="1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2" fontId="10" fillId="4" borderId="21" xfId="0" applyNumberFormat="1" applyFont="1" applyFill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 wrapText="1"/>
    </xf>
    <xf numFmtId="2" fontId="10" fillId="4" borderId="24" xfId="2" applyNumberFormat="1" applyFont="1" applyFill="1" applyBorder="1" applyAlignment="1">
      <alignment horizontal="center" vertical="center"/>
    </xf>
    <xf numFmtId="2" fontId="10" fillId="4" borderId="50" xfId="2" applyNumberFormat="1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2" fontId="12" fillId="4" borderId="13" xfId="2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/>
    </xf>
    <xf numFmtId="2" fontId="10" fillId="7" borderId="30" xfId="1" applyNumberFormat="1" applyFont="1" applyFill="1" applyBorder="1" applyAlignment="1">
      <alignment horizontal="center" vertical="center"/>
    </xf>
    <xf numFmtId="2" fontId="10" fillId="7" borderId="24" xfId="2" applyNumberFormat="1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2" fontId="3" fillId="2" borderId="37" xfId="0" applyNumberFormat="1" applyFont="1" applyFill="1" applyBorder="1" applyAlignment="1">
      <alignment horizontal="center" vertical="center"/>
    </xf>
    <xf numFmtId="165" fontId="3" fillId="2" borderId="37" xfId="0" applyNumberFormat="1" applyFont="1" applyFill="1" applyBorder="1" applyAlignment="1">
      <alignment horizontal="left" vertical="center"/>
    </xf>
    <xf numFmtId="165" fontId="3" fillId="2" borderId="53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8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6" fillId="0" borderId="10" xfId="0" applyFont="1" applyBorder="1" applyAlignment="1">
      <alignment vertical="center"/>
    </xf>
    <xf numFmtId="2" fontId="2" fillId="2" borderId="0" xfId="0" applyNumberFormat="1" applyFont="1" applyFill="1" applyAlignment="1">
      <alignment vertical="center"/>
    </xf>
    <xf numFmtId="49" fontId="11" fillId="0" borderId="0" xfId="5" applyNumberFormat="1" applyFont="1" applyAlignment="1">
      <alignment vertical="center" wrapText="1"/>
    </xf>
    <xf numFmtId="49" fontId="7" fillId="0" borderId="40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10" fillId="5" borderId="32" xfId="0" applyNumberFormat="1" applyFont="1" applyFill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/>
    </xf>
    <xf numFmtId="49" fontId="10" fillId="4" borderId="15" xfId="0" applyNumberFormat="1" applyFont="1" applyFill="1" applyBorder="1" applyAlignment="1">
      <alignment horizontal="center" vertical="center"/>
    </xf>
    <xf numFmtId="49" fontId="10" fillId="4" borderId="14" xfId="0" applyNumberFormat="1" applyFont="1" applyFill="1" applyBorder="1" applyAlignment="1">
      <alignment horizontal="center" vertical="center"/>
    </xf>
    <xf numFmtId="49" fontId="10" fillId="5" borderId="12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vertical="center"/>
    </xf>
    <xf numFmtId="49" fontId="2" fillId="2" borderId="25" xfId="0" applyNumberFormat="1" applyFont="1" applyFill="1" applyBorder="1" applyAlignment="1">
      <alignment vertical="center"/>
    </xf>
    <xf numFmtId="10" fontId="2" fillId="0" borderId="0" xfId="13" applyNumberFormat="1" applyFont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1" fillId="0" borderId="11" xfId="5" applyNumberFormat="1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8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50" xfId="0" applyFont="1" applyBorder="1" applyAlignment="1">
      <alignment horizontal="center" vertical="center"/>
    </xf>
    <xf numFmtId="2" fontId="2" fillId="0" borderId="50" xfId="1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2" fontId="2" fillId="0" borderId="24" xfId="1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2" fontId="2" fillId="0" borderId="42" xfId="1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10" fillId="0" borderId="18" xfId="0" applyNumberFormat="1" applyFont="1" applyBorder="1" applyAlignment="1">
      <alignment horizontal="center" vertical="center"/>
    </xf>
    <xf numFmtId="0" fontId="10" fillId="5" borderId="19" xfId="0" applyFont="1" applyFill="1" applyBorder="1" applyAlignment="1">
      <alignment vertical="center"/>
    </xf>
    <xf numFmtId="0" fontId="10" fillId="5" borderId="23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3" fillId="2" borderId="51" xfId="0" applyNumberFormat="1" applyFont="1" applyFill="1" applyBorder="1" applyAlignment="1">
      <alignment horizontal="center" vertical="center"/>
    </xf>
    <xf numFmtId="2" fontId="3" fillId="2" borderId="51" xfId="0" applyNumberFormat="1" applyFont="1" applyFill="1" applyBorder="1" applyAlignment="1">
      <alignment vertical="center"/>
    </xf>
    <xf numFmtId="2" fontId="4" fillId="0" borderId="51" xfId="0" applyNumberFormat="1" applyFont="1" applyBorder="1" applyAlignment="1">
      <alignment horizontal="center" vertical="center"/>
    </xf>
    <xf numFmtId="2" fontId="3" fillId="2" borderId="51" xfId="0" applyNumberFormat="1" applyFont="1" applyFill="1" applyBorder="1" applyAlignment="1">
      <alignment horizontal="center" vertical="center"/>
    </xf>
    <xf numFmtId="165" fontId="3" fillId="2" borderId="51" xfId="1" applyFont="1" applyFill="1" applyBorder="1" applyAlignment="1">
      <alignment horizontal="left" vertical="center"/>
    </xf>
    <xf numFmtId="165" fontId="3" fillId="2" borderId="55" xfId="1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165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2" fontId="13" fillId="2" borderId="0" xfId="0" applyNumberFormat="1" applyFont="1" applyFill="1" applyAlignment="1">
      <alignment vertical="center"/>
    </xf>
    <xf numFmtId="2" fontId="13" fillId="2" borderId="0" xfId="0" applyNumberFormat="1" applyFont="1" applyFill="1" applyAlignment="1">
      <alignment horizontal="center" vertical="center"/>
    </xf>
    <xf numFmtId="44" fontId="3" fillId="0" borderId="36" xfId="0" applyNumberFormat="1" applyFont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0" applyNumberFormat="1" applyFont="1" applyBorder="1" applyAlignment="1">
      <alignment horizontal="center" vertical="center"/>
    </xf>
    <xf numFmtId="165" fontId="3" fillId="0" borderId="14" xfId="1" applyFont="1" applyBorder="1" applyAlignment="1">
      <alignment horizontal="left" vertical="center"/>
    </xf>
    <xf numFmtId="165" fontId="10" fillId="0" borderId="14" xfId="1" applyFont="1" applyBorder="1" applyAlignment="1">
      <alignment horizontal="right" vertical="center"/>
    </xf>
    <xf numFmtId="168" fontId="10" fillId="0" borderId="16" xfId="1" applyNumberFormat="1" applyFont="1" applyBorder="1" applyAlignment="1">
      <alignment horizontal="center" vertical="center"/>
    </xf>
    <xf numFmtId="165" fontId="10" fillId="0" borderId="8" xfId="1" applyFont="1" applyBorder="1" applyAlignment="1">
      <alignment horizontal="center" vertical="center"/>
    </xf>
    <xf numFmtId="165" fontId="10" fillId="0" borderId="0" xfId="1" applyFont="1" applyBorder="1" applyAlignment="1">
      <alignment horizontal="right" vertical="center"/>
    </xf>
    <xf numFmtId="168" fontId="10" fillId="0" borderId="8" xfId="1" applyNumberFormat="1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vertical="center"/>
    </xf>
    <xf numFmtId="2" fontId="4" fillId="0" borderId="10" xfId="0" applyNumberFormat="1" applyFont="1" applyBorder="1" applyAlignment="1">
      <alignment horizontal="center" vertical="center"/>
    </xf>
    <xf numFmtId="165" fontId="4" fillId="0" borderId="10" xfId="1" applyFont="1" applyBorder="1" applyAlignment="1">
      <alignment horizontal="left" vertical="center"/>
    </xf>
    <xf numFmtId="0" fontId="3" fillId="0" borderId="49" xfId="0" applyFont="1" applyBorder="1" applyAlignment="1">
      <alignment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vertical="center"/>
    </xf>
    <xf numFmtId="2" fontId="4" fillId="0" borderId="5" xfId="0" applyNumberFormat="1" applyFont="1" applyBorder="1" applyAlignment="1">
      <alignment horizontal="center" vertical="center"/>
    </xf>
    <xf numFmtId="165" fontId="3" fillId="2" borderId="5" xfId="1" applyFont="1" applyFill="1" applyBorder="1" applyAlignment="1">
      <alignment horizontal="left" vertical="center"/>
    </xf>
    <xf numFmtId="165" fontId="3" fillId="2" borderId="0" xfId="1" applyFont="1" applyFill="1" applyBorder="1" applyAlignment="1">
      <alignment horizontal="left" vertical="center"/>
    </xf>
    <xf numFmtId="165" fontId="3" fillId="2" borderId="8" xfId="0" applyNumberFormat="1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3" fontId="10" fillId="5" borderId="26" xfId="9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10" fillId="6" borderId="0" xfId="0" applyNumberFormat="1" applyFont="1" applyFill="1" applyAlignment="1">
      <alignment vertical="center"/>
    </xf>
    <xf numFmtId="0" fontId="10" fillId="6" borderId="13" xfId="0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quotePrefix="1" applyNumberFormat="1" applyFont="1" applyFill="1" applyBorder="1" applyAlignment="1">
      <alignment horizontal="center" vertical="center"/>
    </xf>
    <xf numFmtId="165" fontId="7" fillId="2" borderId="36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49" fontId="17" fillId="0" borderId="19" xfId="5" applyNumberFormat="1" applyFont="1" applyBorder="1" applyAlignment="1">
      <alignment horizontal="center" vertical="center" wrapText="1"/>
    </xf>
    <xf numFmtId="49" fontId="8" fillId="0" borderId="0" xfId="5" applyNumberFormat="1" applyFont="1" applyAlignment="1">
      <alignment horizontal="center" vertical="center"/>
    </xf>
    <xf numFmtId="2" fontId="8" fillId="0" borderId="0" xfId="5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2" fontId="7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1" applyFont="1" applyBorder="1" applyAlignment="1">
      <alignment horizontal="left" vertical="center"/>
    </xf>
    <xf numFmtId="0" fontId="3" fillId="0" borderId="59" xfId="0" applyFont="1" applyBorder="1" applyAlignment="1">
      <alignment vertical="center"/>
    </xf>
    <xf numFmtId="2" fontId="13" fillId="2" borderId="0" xfId="0" applyNumberFormat="1" applyFont="1" applyFill="1" applyAlignment="1">
      <alignment vertical="center" wrapText="1"/>
    </xf>
    <xf numFmtId="2" fontId="17" fillId="0" borderId="0" xfId="5" applyNumberFormat="1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2" fontId="3" fillId="0" borderId="10" xfId="0" applyNumberFormat="1" applyFont="1" applyBorder="1" applyAlignment="1">
      <alignment horizontal="center" vertical="center"/>
    </xf>
    <xf numFmtId="165" fontId="3" fillId="0" borderId="10" xfId="1" applyFont="1" applyBorder="1" applyAlignment="1">
      <alignment horizontal="left" vertical="center"/>
    </xf>
    <xf numFmtId="165" fontId="3" fillId="0" borderId="11" xfId="1" applyFont="1" applyBorder="1" applyAlignment="1">
      <alignment horizontal="center" vertical="center"/>
    </xf>
    <xf numFmtId="0" fontId="8" fillId="2" borderId="36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0" fontId="10" fillId="5" borderId="1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10" fillId="4" borderId="21" xfId="0" applyFont="1" applyFill="1" applyBorder="1" applyAlignment="1">
      <alignment horizontal="left" vertical="center"/>
    </xf>
    <xf numFmtId="2" fontId="10" fillId="4" borderId="21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/>
    </xf>
    <xf numFmtId="2" fontId="14" fillId="0" borderId="16" xfId="0" applyNumberFormat="1" applyFont="1" applyBorder="1" applyAlignment="1">
      <alignment horizontal="center" vertical="center" wrapText="1"/>
    </xf>
    <xf numFmtId="49" fontId="10" fillId="5" borderId="33" xfId="0" applyNumberFormat="1" applyFont="1" applyFill="1" applyBorder="1" applyAlignment="1">
      <alignment horizontal="center" vertical="center"/>
    </xf>
    <xf numFmtId="49" fontId="10" fillId="5" borderId="31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center" vertical="center" wrapText="1"/>
    </xf>
    <xf numFmtId="2" fontId="10" fillId="4" borderId="21" xfId="2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center" vertical="center" wrapText="1"/>
    </xf>
    <xf numFmtId="49" fontId="10" fillId="6" borderId="12" xfId="0" applyNumberFormat="1" applyFont="1" applyFill="1" applyBorder="1" applyAlignment="1">
      <alignment horizontal="center" vertical="center"/>
    </xf>
    <xf numFmtId="49" fontId="11" fillId="0" borderId="41" xfId="5" applyNumberFormat="1" applyFont="1" applyBorder="1" applyAlignment="1">
      <alignment horizontal="center" vertical="center" wrapText="1"/>
    </xf>
    <xf numFmtId="10" fontId="2" fillId="9" borderId="0" xfId="13" applyNumberFormat="1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0" fillId="7" borderId="31" xfId="1" applyNumberFormat="1" applyFont="1" applyFill="1" applyBorder="1" applyAlignment="1">
      <alignment horizontal="center" vertical="center"/>
    </xf>
    <xf numFmtId="2" fontId="10" fillId="7" borderId="26" xfId="1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2" fontId="2" fillId="0" borderId="1" xfId="1" applyNumberFormat="1" applyFont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2" fontId="10" fillId="5" borderId="31" xfId="1" applyNumberFormat="1" applyFont="1" applyFill="1" applyBorder="1" applyAlignment="1">
      <alignment horizontal="center" vertical="center"/>
    </xf>
    <xf numFmtId="2" fontId="10" fillId="5" borderId="19" xfId="1" applyNumberFormat="1" applyFont="1" applyFill="1" applyBorder="1" applyAlignment="1">
      <alignment horizontal="center" vertical="center"/>
    </xf>
    <xf numFmtId="2" fontId="10" fillId="5" borderId="17" xfId="1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2" fontId="10" fillId="4" borderId="2" xfId="2" applyNumberFormat="1" applyFont="1" applyFill="1" applyBorder="1" applyAlignment="1">
      <alignment horizontal="center" vertical="center"/>
    </xf>
    <xf numFmtId="2" fontId="10" fillId="4" borderId="3" xfId="2" applyNumberFormat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10" fillId="6" borderId="18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5" borderId="28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49" fontId="11" fillId="0" borderId="0" xfId="5" applyNumberFormat="1" applyFont="1" applyAlignment="1">
      <alignment horizontal="center" vertical="center" wrapText="1"/>
    </xf>
    <xf numFmtId="49" fontId="11" fillId="0" borderId="8" xfId="5" applyNumberFormat="1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2" fontId="13" fillId="2" borderId="19" xfId="0" applyNumberFormat="1" applyFont="1" applyFill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6">
    <cellStyle name="Moeda" xfId="1" builtinId="4"/>
    <cellStyle name="Moeda 2" xfId="3" xr:uid="{00000000-0005-0000-0000-000001000000}"/>
    <cellStyle name="Moeda 2 2" xfId="10" xr:uid="{00000000-0005-0000-0000-000002000000}"/>
    <cellStyle name="Moeda 3" xfId="6" xr:uid="{00000000-0005-0000-0000-000003000000}"/>
    <cellStyle name="Moeda 4" xfId="8" xr:uid="{00000000-0005-0000-0000-000004000000}"/>
    <cellStyle name="Normal" xfId="0" builtinId="0"/>
    <cellStyle name="Normal 2" xfId="5" xr:uid="{00000000-0005-0000-0000-000006000000}"/>
    <cellStyle name="Normal 2 21" xfId="14" xr:uid="{00000000-0005-0000-0000-000007000000}"/>
    <cellStyle name="Porcentagem" xfId="13" builtinId="5"/>
    <cellStyle name="Vírgula" xfId="2" builtinId="3"/>
    <cellStyle name="Vírgula 2" xfId="4" xr:uid="{00000000-0005-0000-0000-00000A000000}"/>
    <cellStyle name="Vírgula 2 2" xfId="11" xr:uid="{00000000-0005-0000-0000-00000B000000}"/>
    <cellStyle name="Vírgula 3" xfId="7" xr:uid="{00000000-0005-0000-0000-00000C000000}"/>
    <cellStyle name="Vírgula 3 2" xfId="12" xr:uid="{00000000-0005-0000-0000-00000D000000}"/>
    <cellStyle name="Vírgula 4" xfId="9" xr:uid="{00000000-0005-0000-0000-00000E000000}"/>
    <cellStyle name="Vírgula 5" xfId="15" xr:uid="{00000000-0005-0000-0000-00000F000000}"/>
  </cellStyles>
  <dxfs count="8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264782</xdr:colOff>
      <xdr:row>3</xdr:row>
      <xdr:rowOff>108539</xdr:rowOff>
    </xdr:from>
    <xdr:ext cx="3082576" cy="1003630"/>
    <xdr:pic>
      <xdr:nvPicPr>
        <xdr:cNvPr id="5" name="Imagem 3">
          <a:extLst>
            <a:ext uri="{FF2B5EF4-FFF2-40B4-BE49-F238E27FC236}">
              <a16:creationId xmlns:a16="http://schemas.microsoft.com/office/drawing/2014/main" id="{041EEDF2-5CE6-46AD-A8D0-8D260E6A1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103" y="666432"/>
          <a:ext cx="3082576" cy="10036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301384</xdr:colOff>
      <xdr:row>0</xdr:row>
      <xdr:rowOff>73068</xdr:rowOff>
    </xdr:from>
    <xdr:ext cx="3844076" cy="1203882"/>
    <xdr:pic>
      <xdr:nvPicPr>
        <xdr:cNvPr id="5" name="Imagem 2">
          <a:extLst>
            <a:ext uri="{FF2B5EF4-FFF2-40B4-BE49-F238E27FC236}">
              <a16:creationId xmlns:a16="http://schemas.microsoft.com/office/drawing/2014/main" id="{58E814EE-6EEA-461B-BCFA-607609FE5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554" y="73068"/>
          <a:ext cx="3844076" cy="1203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3"/>
  <sheetViews>
    <sheetView showGridLines="0" view="pageBreakPreview" zoomScale="70" zoomScaleNormal="70" zoomScaleSheetLayoutView="70" zoomScalePageLayoutView="10" workbookViewId="0">
      <selection activeCell="H122" sqref="B4:H122"/>
    </sheetView>
  </sheetViews>
  <sheetFormatPr defaultColWidth="9.140625" defaultRowHeight="14.25" x14ac:dyDescent="0.25"/>
  <cols>
    <col min="1" max="1" width="9.140625" style="8" customWidth="1"/>
    <col min="2" max="2" width="6.42578125" style="4" bestFit="1" customWidth="1"/>
    <col min="3" max="3" width="24.5703125" style="4" customWidth="1"/>
    <col min="4" max="4" width="104.7109375" style="5" customWidth="1"/>
    <col min="5" max="5" width="7.140625" style="3" bestFit="1" customWidth="1"/>
    <col min="6" max="6" width="23.42578125" style="7" bestFit="1" customWidth="1"/>
    <col min="7" max="7" width="22.7109375" style="7" bestFit="1" customWidth="1"/>
    <col min="8" max="8" width="16.42578125" style="65" bestFit="1" customWidth="1"/>
    <col min="9" max="9" width="16.140625" style="8" customWidth="1"/>
    <col min="10" max="10" width="2.28515625" style="8" bestFit="1" customWidth="1"/>
    <col min="11" max="16384" width="9.140625" style="8"/>
  </cols>
  <sheetData>
    <row r="1" spans="1:10" x14ac:dyDescent="0.25">
      <c r="A1" s="166"/>
    </row>
    <row r="3" spans="1:10" ht="15.75" thickBot="1" x14ac:dyDescent="0.3">
      <c r="B3" s="165"/>
      <c r="C3" s="165"/>
      <c r="F3" s="65"/>
      <c r="G3" s="65"/>
      <c r="H3" s="224"/>
    </row>
    <row r="4" spans="1:10" ht="15.75" x14ac:dyDescent="0.25">
      <c r="B4" s="344" t="s">
        <v>0</v>
      </c>
      <c r="C4" s="345"/>
      <c r="D4" s="345"/>
      <c r="E4" s="345"/>
      <c r="F4" s="345"/>
      <c r="G4" s="345"/>
      <c r="H4" s="346"/>
      <c r="I4" s="80" t="s">
        <v>1</v>
      </c>
      <c r="J4" s="76"/>
    </row>
    <row r="5" spans="1:10" ht="15.75" x14ac:dyDescent="0.25">
      <c r="B5" s="347" t="s">
        <v>2</v>
      </c>
      <c r="C5" s="348"/>
      <c r="D5" s="348"/>
      <c r="E5" s="348"/>
      <c r="F5" s="348"/>
      <c r="G5" s="348"/>
      <c r="H5" s="349"/>
      <c r="I5" s="368"/>
      <c r="J5" s="368"/>
    </row>
    <row r="6" spans="1:10" ht="15.75" x14ac:dyDescent="0.25">
      <c r="B6" s="264"/>
      <c r="C6" s="164"/>
      <c r="D6" s="164" t="s">
        <v>3</v>
      </c>
      <c r="E6" s="164"/>
      <c r="F6" s="164"/>
      <c r="G6" s="164"/>
      <c r="H6" s="265"/>
      <c r="I6" s="76"/>
      <c r="J6" s="76"/>
    </row>
    <row r="7" spans="1:10" ht="15.75" x14ac:dyDescent="0.25">
      <c r="B7" s="266"/>
      <c r="C7" s="167"/>
      <c r="D7" s="348" t="s">
        <v>209</v>
      </c>
      <c r="E7" s="348"/>
      <c r="F7" s="348"/>
      <c r="G7" s="167"/>
      <c r="H7" s="267"/>
      <c r="I7" s="267"/>
      <c r="J7" s="76"/>
    </row>
    <row r="8" spans="1:10" ht="15.75" x14ac:dyDescent="0.25">
      <c r="B8" s="266"/>
      <c r="C8" s="167"/>
      <c r="D8" s="348" t="s">
        <v>210</v>
      </c>
      <c r="E8" s="348"/>
      <c r="F8" s="348"/>
      <c r="G8" s="167"/>
      <c r="H8" s="267"/>
      <c r="I8" s="267"/>
      <c r="J8" s="76"/>
    </row>
    <row r="9" spans="1:10" ht="16.5" thickBot="1" x14ac:dyDescent="0.3">
      <c r="B9" s="350"/>
      <c r="C9" s="351"/>
      <c r="D9" s="351"/>
      <c r="E9" s="351"/>
      <c r="F9" s="351"/>
      <c r="G9" s="351"/>
      <c r="H9" s="352"/>
      <c r="I9" s="76"/>
    </row>
    <row r="10" spans="1:10" ht="18.75" thickBot="1" x14ac:dyDescent="0.3">
      <c r="B10" s="353" t="s">
        <v>4</v>
      </c>
      <c r="C10" s="354"/>
      <c r="D10" s="354"/>
      <c r="E10" s="354"/>
      <c r="F10" s="354"/>
      <c r="G10" s="354"/>
      <c r="H10" s="355"/>
    </row>
    <row r="11" spans="1:10" s="25" customFormat="1" ht="15.75" x14ac:dyDescent="0.25">
      <c r="B11" s="142" t="s">
        <v>5</v>
      </c>
      <c r="C11" s="143" t="s">
        <v>6</v>
      </c>
      <c r="D11" s="268"/>
      <c r="E11" s="144" t="s">
        <v>7</v>
      </c>
      <c r="F11" s="356" t="s">
        <v>4</v>
      </c>
      <c r="G11" s="357"/>
      <c r="H11" s="358"/>
    </row>
    <row r="12" spans="1:10" s="25" customFormat="1" ht="15.75" x14ac:dyDescent="0.25">
      <c r="B12" s="205" t="s">
        <v>8</v>
      </c>
      <c r="C12" s="206"/>
      <c r="D12" s="207"/>
      <c r="E12" s="207"/>
      <c r="F12" s="207"/>
      <c r="G12" s="207"/>
      <c r="H12" s="208"/>
    </row>
    <row r="13" spans="1:10" s="25" customFormat="1" ht="15.75" x14ac:dyDescent="0.25">
      <c r="B13" s="173">
        <v>1</v>
      </c>
      <c r="C13" s="161" t="s">
        <v>9</v>
      </c>
      <c r="D13" s="312" t="s">
        <v>10</v>
      </c>
      <c r="E13" s="313"/>
      <c r="F13" s="313"/>
      <c r="G13" s="314"/>
      <c r="H13" s="119" t="s">
        <v>11</v>
      </c>
    </row>
    <row r="14" spans="1:10" s="25" customFormat="1" ht="31.5" x14ac:dyDescent="0.25">
      <c r="B14" s="174" t="s">
        <v>12</v>
      </c>
      <c r="C14" s="162" t="s">
        <v>13</v>
      </c>
      <c r="D14" s="32" t="s">
        <v>14</v>
      </c>
      <c r="E14" s="31" t="s">
        <v>15</v>
      </c>
      <c r="F14" s="343" t="s">
        <v>16</v>
      </c>
      <c r="G14" s="343"/>
      <c r="H14" s="122">
        <f>SUM(H15:H15)</f>
        <v>229.2</v>
      </c>
    </row>
    <row r="15" spans="1:10" s="25" customFormat="1" ht="24.75" customHeight="1" x14ac:dyDescent="0.25">
      <c r="B15" s="182"/>
      <c r="C15" s="183"/>
      <c r="D15" s="24" t="s">
        <v>17</v>
      </c>
      <c r="E15" s="82" t="s">
        <v>15</v>
      </c>
      <c r="F15" s="366">
        <f>65.4+49.2+65.4+49.2</f>
        <v>229.2</v>
      </c>
      <c r="G15" s="367"/>
      <c r="H15" s="121">
        <f>F15</f>
        <v>229.2</v>
      </c>
    </row>
    <row r="16" spans="1:10" s="25" customFormat="1" ht="31.5" x14ac:dyDescent="0.25">
      <c r="B16" s="174" t="s">
        <v>18</v>
      </c>
      <c r="C16" s="181" t="s">
        <v>19</v>
      </c>
      <c r="D16" s="32" t="s">
        <v>20</v>
      </c>
      <c r="E16" s="31" t="s">
        <v>21</v>
      </c>
      <c r="F16" s="104" t="s">
        <v>16</v>
      </c>
      <c r="G16" s="104" t="s">
        <v>22</v>
      </c>
      <c r="H16" s="122">
        <f>SUM(H17)</f>
        <v>3</v>
      </c>
    </row>
    <row r="17" spans="2:8" s="25" customFormat="1" ht="23.25" customHeight="1" x14ac:dyDescent="0.25">
      <c r="B17" s="175"/>
      <c r="C17" s="192"/>
      <c r="D17" s="24" t="s">
        <v>23</v>
      </c>
      <c r="E17" s="193" t="s">
        <v>21</v>
      </c>
      <c r="F17" s="194">
        <v>2</v>
      </c>
      <c r="G17" s="194">
        <v>1.5</v>
      </c>
      <c r="H17" s="195">
        <f>G17*F17</f>
        <v>3</v>
      </c>
    </row>
    <row r="18" spans="2:8" s="25" customFormat="1" ht="15.75" x14ac:dyDescent="0.25">
      <c r="B18" s="174" t="s">
        <v>24</v>
      </c>
      <c r="C18" s="177" t="s">
        <v>25</v>
      </c>
      <c r="D18" s="127" t="s">
        <v>26</v>
      </c>
      <c r="E18" s="31" t="s">
        <v>21</v>
      </c>
      <c r="F18" s="104" t="s">
        <v>16</v>
      </c>
      <c r="G18" s="104" t="s">
        <v>22</v>
      </c>
      <c r="H18" s="122">
        <f>SUM(H19)</f>
        <v>3217.6800000000003</v>
      </c>
    </row>
    <row r="19" spans="2:8" s="25" customFormat="1" ht="21.75" customHeight="1" x14ac:dyDescent="0.25">
      <c r="B19" s="191"/>
      <c r="C19" s="196"/>
      <c r="D19" s="212" t="s">
        <v>27</v>
      </c>
      <c r="E19" s="315" t="s">
        <v>21</v>
      </c>
      <c r="F19" s="199">
        <v>65.400000000000006</v>
      </c>
      <c r="G19" s="199">
        <v>49.2</v>
      </c>
      <c r="H19" s="316">
        <f>F19*G19</f>
        <v>3217.6800000000003</v>
      </c>
    </row>
    <row r="20" spans="2:8" s="25" customFormat="1" ht="15.75" x14ac:dyDescent="0.25">
      <c r="B20" s="202" t="s">
        <v>28</v>
      </c>
      <c r="C20" s="211"/>
      <c r="D20" s="319"/>
      <c r="E20" s="320"/>
      <c r="F20" s="320"/>
      <c r="G20" s="320"/>
      <c r="H20" s="317"/>
    </row>
    <row r="21" spans="2:8" s="25" customFormat="1" ht="15.75" x14ac:dyDescent="0.25">
      <c r="B21" s="118">
        <v>2</v>
      </c>
      <c r="C21" s="161" t="s">
        <v>29</v>
      </c>
      <c r="D21" s="211" t="s">
        <v>30</v>
      </c>
      <c r="E21" s="206"/>
      <c r="F21" s="206"/>
      <c r="G21" s="323"/>
      <c r="H21" s="318" t="s">
        <v>11</v>
      </c>
    </row>
    <row r="22" spans="2:8" s="25" customFormat="1" ht="15.75" x14ac:dyDescent="0.25">
      <c r="B22" s="174" t="s">
        <v>31</v>
      </c>
      <c r="C22" s="162">
        <v>30104</v>
      </c>
      <c r="D22" s="321" t="s">
        <v>32</v>
      </c>
      <c r="E22" s="322" t="s">
        <v>33</v>
      </c>
      <c r="F22" s="337" t="s">
        <v>34</v>
      </c>
      <c r="G22" s="338"/>
      <c r="H22" s="120">
        <f>H24</f>
        <v>59.592000000000006</v>
      </c>
    </row>
    <row r="23" spans="2:8" s="25" customFormat="1" ht="15.75" x14ac:dyDescent="0.25">
      <c r="B23" s="178"/>
      <c r="C23" s="179"/>
      <c r="D23" s="152"/>
      <c r="E23" s="31" t="s">
        <v>33</v>
      </c>
      <c r="F23" s="153" t="s">
        <v>35</v>
      </c>
      <c r="G23" s="154" t="s">
        <v>36</v>
      </c>
      <c r="H23" s="151">
        <f>H24</f>
        <v>59.592000000000006</v>
      </c>
    </row>
    <row r="24" spans="2:8" s="25" customFormat="1" ht="22.5" customHeight="1" x14ac:dyDescent="0.25">
      <c r="B24" s="182"/>
      <c r="C24" s="183"/>
      <c r="D24" s="212" t="s">
        <v>37</v>
      </c>
      <c r="E24" s="213" t="s">
        <v>33</v>
      </c>
      <c r="F24" s="214">
        <f>229.2*1</f>
        <v>229.2</v>
      </c>
      <c r="G24" s="214">
        <v>0.2</v>
      </c>
      <c r="H24" s="324">
        <f>(G24*F24)+(G24*F24*0.3)</f>
        <v>59.592000000000006</v>
      </c>
    </row>
    <row r="25" spans="2:8" s="25" customFormat="1" ht="15.75" x14ac:dyDescent="0.25">
      <c r="B25" s="211" t="s">
        <v>38</v>
      </c>
      <c r="C25" s="206"/>
      <c r="D25" s="320"/>
      <c r="E25" s="320"/>
      <c r="F25" s="320"/>
      <c r="G25" s="320"/>
      <c r="H25" s="317"/>
    </row>
    <row r="26" spans="2:8" s="25" customFormat="1" ht="15.75" x14ac:dyDescent="0.25">
      <c r="B26" s="325">
        <v>3</v>
      </c>
      <c r="C26" s="326" t="s">
        <v>39</v>
      </c>
      <c r="D26" s="339" t="s">
        <v>40</v>
      </c>
      <c r="E26" s="340"/>
      <c r="F26" s="340"/>
      <c r="G26" s="341"/>
      <c r="H26" s="318" t="s">
        <v>11</v>
      </c>
    </row>
    <row r="27" spans="2:8" s="25" customFormat="1" ht="15.75" x14ac:dyDescent="0.25">
      <c r="B27" s="174" t="s">
        <v>41</v>
      </c>
      <c r="C27" s="162">
        <v>40103</v>
      </c>
      <c r="D27" s="327" t="s">
        <v>42</v>
      </c>
      <c r="E27" s="328" t="s">
        <v>33</v>
      </c>
      <c r="F27" s="329" t="s">
        <v>35</v>
      </c>
      <c r="G27" s="329" t="s">
        <v>16</v>
      </c>
      <c r="H27" s="122">
        <f>SUM(H28)</f>
        <v>229.2</v>
      </c>
    </row>
    <row r="28" spans="2:8" s="25" customFormat="1" ht="20.25" customHeight="1" x14ac:dyDescent="0.25">
      <c r="B28" s="215"/>
      <c r="C28" s="197"/>
      <c r="D28" s="24" t="s">
        <v>17</v>
      </c>
      <c r="E28" s="35" t="s">
        <v>33</v>
      </c>
      <c r="F28" s="37">
        <v>1</v>
      </c>
      <c r="G28" s="105">
        <v>229.2</v>
      </c>
      <c r="H28" s="123">
        <f>G28*F28</f>
        <v>229.2</v>
      </c>
    </row>
    <row r="29" spans="2:8" s="25" customFormat="1" ht="15.75" x14ac:dyDescent="0.25">
      <c r="B29" s="174" t="s">
        <v>43</v>
      </c>
      <c r="C29" s="162" t="s">
        <v>44</v>
      </c>
      <c r="D29" s="33" t="s">
        <v>45</v>
      </c>
      <c r="E29" s="34" t="s">
        <v>33</v>
      </c>
      <c r="F29" s="104" t="s">
        <v>35</v>
      </c>
      <c r="G29" s="104" t="s">
        <v>16</v>
      </c>
      <c r="H29" s="122">
        <f>SUM(H30)</f>
        <v>68.759999999999991</v>
      </c>
    </row>
    <row r="30" spans="2:8" s="25" customFormat="1" ht="20.25" customHeight="1" x14ac:dyDescent="0.25">
      <c r="B30" s="215"/>
      <c r="C30" s="197"/>
      <c r="D30" s="24" t="s">
        <v>17</v>
      </c>
      <c r="E30" s="35" t="s">
        <v>33</v>
      </c>
      <c r="F30" s="37">
        <v>0.3</v>
      </c>
      <c r="G30" s="105">
        <v>229.2</v>
      </c>
      <c r="H30" s="123">
        <f>G30*F30</f>
        <v>68.759999999999991</v>
      </c>
    </row>
    <row r="31" spans="2:8" s="25" customFormat="1" ht="15.75" x14ac:dyDescent="0.25">
      <c r="B31" s="202" t="s">
        <v>46</v>
      </c>
      <c r="C31" s="211"/>
      <c r="D31" s="200"/>
      <c r="E31" s="200"/>
      <c r="F31" s="200"/>
      <c r="G31" s="200"/>
      <c r="H31" s="201"/>
    </row>
    <row r="32" spans="2:8" s="25" customFormat="1" ht="15.75" x14ac:dyDescent="0.25">
      <c r="B32" s="180">
        <v>4</v>
      </c>
      <c r="C32" s="188" t="s">
        <v>47</v>
      </c>
      <c r="D32" s="203" t="s">
        <v>48</v>
      </c>
      <c r="E32" s="203"/>
      <c r="F32" s="203"/>
      <c r="G32" s="203"/>
      <c r="H32" s="330"/>
    </row>
    <row r="33" spans="2:8" s="25" customFormat="1" ht="15.75" x14ac:dyDescent="0.25">
      <c r="B33" s="332"/>
      <c r="C33" s="270"/>
      <c r="D33" s="372" t="s">
        <v>49</v>
      </c>
      <c r="E33" s="372"/>
      <c r="F33" s="372"/>
      <c r="G33" s="373"/>
      <c r="H33" s="271" t="s">
        <v>50</v>
      </c>
    </row>
    <row r="34" spans="2:8" s="25" customFormat="1" ht="15.75" x14ac:dyDescent="0.25">
      <c r="B34" s="174" t="s">
        <v>51</v>
      </c>
      <c r="C34" s="181" t="s">
        <v>52</v>
      </c>
      <c r="D34" s="33" t="s">
        <v>53</v>
      </c>
      <c r="E34" s="34" t="s">
        <v>33</v>
      </c>
      <c r="F34" s="104" t="s">
        <v>35</v>
      </c>
      <c r="G34" s="104" t="s">
        <v>54</v>
      </c>
      <c r="H34" s="122">
        <f>SUM(H35)</f>
        <v>107.1525</v>
      </c>
    </row>
    <row r="35" spans="2:8" s="25" customFormat="1" ht="25.5" customHeight="1" x14ac:dyDescent="0.25">
      <c r="B35" s="215"/>
      <c r="C35" s="197"/>
      <c r="D35" s="269" t="s">
        <v>55</v>
      </c>
      <c r="E35" s="35" t="s">
        <v>33</v>
      </c>
      <c r="F35" s="276">
        <f>3.14*0.125</f>
        <v>0.39250000000000002</v>
      </c>
      <c r="G35" s="105">
        <v>3</v>
      </c>
      <c r="H35" s="123">
        <f>G35*F35*91</f>
        <v>107.1525</v>
      </c>
    </row>
    <row r="36" spans="2:8" s="25" customFormat="1" ht="31.5" x14ac:dyDescent="0.25">
      <c r="B36" s="174" t="s">
        <v>56</v>
      </c>
      <c r="C36" s="181">
        <v>51024</v>
      </c>
      <c r="D36" s="33" t="s">
        <v>57</v>
      </c>
      <c r="E36" s="100" t="s">
        <v>33</v>
      </c>
      <c r="F36" s="104" t="s">
        <v>35</v>
      </c>
      <c r="G36" s="104" t="s">
        <v>36</v>
      </c>
      <c r="H36" s="122">
        <f>H37</f>
        <v>1.7858750000000003</v>
      </c>
    </row>
    <row r="37" spans="2:8" s="25" customFormat="1" ht="27.75" customHeight="1" x14ac:dyDescent="0.25">
      <c r="B37" s="175"/>
      <c r="C37" s="192"/>
      <c r="D37" s="269" t="s">
        <v>55</v>
      </c>
      <c r="E37" s="27" t="s">
        <v>33</v>
      </c>
      <c r="F37" s="276">
        <f>3.14*0.125</f>
        <v>0.39250000000000002</v>
      </c>
      <c r="G37" s="36">
        <v>0.05</v>
      </c>
      <c r="H37" s="121">
        <f>G37*F37*91</f>
        <v>1.7858750000000003</v>
      </c>
    </row>
    <row r="38" spans="2:8" s="25" customFormat="1" ht="15.75" x14ac:dyDescent="0.25">
      <c r="B38" s="174" t="s">
        <v>58</v>
      </c>
      <c r="C38" s="162">
        <v>52004</v>
      </c>
      <c r="D38" s="33" t="s">
        <v>59</v>
      </c>
      <c r="E38" s="100" t="s">
        <v>60</v>
      </c>
      <c r="F38" s="104" t="s">
        <v>16</v>
      </c>
      <c r="G38" s="104" t="s">
        <v>61</v>
      </c>
      <c r="H38" s="122">
        <f>H39</f>
        <v>436.80000000000007</v>
      </c>
    </row>
    <row r="39" spans="2:8" s="25" customFormat="1" ht="27" customHeight="1" x14ac:dyDescent="0.25">
      <c r="B39" s="175"/>
      <c r="C39" s="192"/>
      <c r="D39" s="269" t="s">
        <v>62</v>
      </c>
      <c r="E39" s="27" t="s">
        <v>60</v>
      </c>
      <c r="F39" s="101">
        <f>3*4</f>
        <v>12</v>
      </c>
      <c r="G39" s="101">
        <v>0.4</v>
      </c>
      <c r="H39" s="126">
        <f>G39*F39*91</f>
        <v>436.80000000000007</v>
      </c>
    </row>
    <row r="40" spans="2:8" s="25" customFormat="1" ht="15.75" x14ac:dyDescent="0.25">
      <c r="B40" s="174" t="s">
        <v>63</v>
      </c>
      <c r="C40" s="162">
        <v>52014</v>
      </c>
      <c r="D40" s="33" t="s">
        <v>64</v>
      </c>
      <c r="E40" s="100" t="s">
        <v>60</v>
      </c>
      <c r="F40" s="104" t="s">
        <v>16</v>
      </c>
      <c r="G40" s="104" t="s">
        <v>61</v>
      </c>
      <c r="H40" s="122">
        <f>H41</f>
        <v>262.08</v>
      </c>
    </row>
    <row r="41" spans="2:8" s="25" customFormat="1" ht="25.5" customHeight="1" x14ac:dyDescent="0.25">
      <c r="B41" s="175"/>
      <c r="C41" s="192"/>
      <c r="D41" s="269" t="s">
        <v>65</v>
      </c>
      <c r="E41" s="27" t="s">
        <v>60</v>
      </c>
      <c r="F41" s="101">
        <f>0.9*20</f>
        <v>18</v>
      </c>
      <c r="G41" s="101">
        <v>0.16</v>
      </c>
      <c r="H41" s="126">
        <f>G41*F41*91</f>
        <v>262.08</v>
      </c>
    </row>
    <row r="42" spans="2:8" s="25" customFormat="1" ht="31.5" x14ac:dyDescent="0.25">
      <c r="B42" s="174" t="s">
        <v>66</v>
      </c>
      <c r="C42" s="162">
        <v>51032</v>
      </c>
      <c r="D42" s="33" t="s">
        <v>67</v>
      </c>
      <c r="E42" s="100" t="s">
        <v>33</v>
      </c>
      <c r="F42" s="104" t="s">
        <v>35</v>
      </c>
      <c r="G42" s="104" t="s">
        <v>54</v>
      </c>
      <c r="H42" s="122">
        <f>H43</f>
        <v>17.0625</v>
      </c>
    </row>
    <row r="43" spans="2:8" s="25" customFormat="1" ht="27" customHeight="1" x14ac:dyDescent="0.25">
      <c r="B43" s="175"/>
      <c r="C43" s="192"/>
      <c r="D43" s="269" t="s">
        <v>62</v>
      </c>
      <c r="E43" s="198" t="s">
        <v>33</v>
      </c>
      <c r="F43" s="199">
        <f>0.25*0.25</f>
        <v>6.25E-2</v>
      </c>
      <c r="G43" s="199">
        <v>3</v>
      </c>
      <c r="H43" s="126">
        <f>G43*F43*91</f>
        <v>17.0625</v>
      </c>
    </row>
    <row r="44" spans="2:8" s="25" customFormat="1" ht="15.75" x14ac:dyDescent="0.25">
      <c r="B44" s="202" t="s">
        <v>68</v>
      </c>
      <c r="C44" s="203"/>
      <c r="D44" s="200"/>
      <c r="E44" s="200"/>
      <c r="F44" s="200"/>
      <c r="G44" s="200"/>
      <c r="H44" s="201"/>
    </row>
    <row r="45" spans="2:8" s="25" customFormat="1" ht="15.75" x14ac:dyDescent="0.25">
      <c r="B45" s="180">
        <v>5</v>
      </c>
      <c r="C45" s="161" t="s">
        <v>69</v>
      </c>
      <c r="D45" s="339" t="s">
        <v>70</v>
      </c>
      <c r="E45" s="340"/>
      <c r="F45" s="340"/>
      <c r="G45" s="341"/>
      <c r="H45" s="125" t="s">
        <v>50</v>
      </c>
    </row>
    <row r="46" spans="2:8" s="25" customFormat="1" ht="15.75" x14ac:dyDescent="0.25">
      <c r="B46" s="332"/>
      <c r="C46" s="272"/>
      <c r="D46" s="378" t="s">
        <v>71</v>
      </c>
      <c r="E46" s="379"/>
      <c r="F46" s="379"/>
      <c r="G46" s="379"/>
      <c r="H46" s="271" t="s">
        <v>50</v>
      </c>
    </row>
    <row r="47" spans="2:8" s="25" customFormat="1" ht="15.75" x14ac:dyDescent="0.25">
      <c r="B47" s="174" t="s">
        <v>72</v>
      </c>
      <c r="C47" s="162">
        <v>60191</v>
      </c>
      <c r="D47" s="33" t="s">
        <v>73</v>
      </c>
      <c r="E47" s="34" t="s">
        <v>21</v>
      </c>
      <c r="F47" s="104" t="s">
        <v>16</v>
      </c>
      <c r="G47" s="104" t="s">
        <v>54</v>
      </c>
      <c r="H47" s="122">
        <f>SUM(H48:H48)</f>
        <v>114.6</v>
      </c>
    </row>
    <row r="48" spans="2:8" s="25" customFormat="1" ht="23.25" customHeight="1" x14ac:dyDescent="0.25">
      <c r="B48" s="182"/>
      <c r="C48" s="183"/>
      <c r="D48" s="28" t="s">
        <v>74</v>
      </c>
      <c r="E48" s="27" t="s">
        <v>21</v>
      </c>
      <c r="F48" s="101">
        <f>229.2</f>
        <v>229.2</v>
      </c>
      <c r="G48" s="101">
        <v>0.25</v>
      </c>
      <c r="H48" s="126">
        <f>G48*F48*2</f>
        <v>114.6</v>
      </c>
    </row>
    <row r="49" spans="2:8" s="25" customFormat="1" ht="15.75" x14ac:dyDescent="0.25">
      <c r="B49" s="174" t="s">
        <v>75</v>
      </c>
      <c r="C49" s="162" t="s">
        <v>76</v>
      </c>
      <c r="D49" s="33" t="s">
        <v>77</v>
      </c>
      <c r="E49" s="34" t="s">
        <v>78</v>
      </c>
      <c r="F49" s="104" t="s">
        <v>16</v>
      </c>
      <c r="G49" s="104" t="s">
        <v>61</v>
      </c>
      <c r="H49" s="122">
        <f>SUM(H50:H50)</f>
        <v>366.72</v>
      </c>
    </row>
    <row r="50" spans="2:8" s="25" customFormat="1" ht="23.25" customHeight="1" x14ac:dyDescent="0.25">
      <c r="B50" s="182"/>
      <c r="C50" s="176"/>
      <c r="D50" s="28" t="s">
        <v>79</v>
      </c>
      <c r="E50" s="27" t="s">
        <v>78</v>
      </c>
      <c r="F50" s="101">
        <v>229.2</v>
      </c>
      <c r="G50" s="101">
        <v>0.4</v>
      </c>
      <c r="H50" s="126">
        <f>G50*F50*4</f>
        <v>366.72</v>
      </c>
    </row>
    <row r="51" spans="2:8" s="25" customFormat="1" ht="15.75" x14ac:dyDescent="0.25">
      <c r="B51" s="174" t="s">
        <v>80</v>
      </c>
      <c r="C51" s="181">
        <v>60314</v>
      </c>
      <c r="D51" s="33" t="s">
        <v>81</v>
      </c>
      <c r="E51" s="34" t="s">
        <v>78</v>
      </c>
      <c r="F51" s="104" t="s">
        <v>16</v>
      </c>
      <c r="G51" s="104" t="s">
        <v>61</v>
      </c>
      <c r="H51" s="122">
        <f>SUM(H52:H52)</f>
        <v>220.03200000000001</v>
      </c>
    </row>
    <row r="52" spans="2:8" s="25" customFormat="1" ht="19.5" customHeight="1" x14ac:dyDescent="0.25">
      <c r="B52" s="182"/>
      <c r="C52" s="183"/>
      <c r="D52" s="28" t="s">
        <v>82</v>
      </c>
      <c r="E52" s="27" t="s">
        <v>78</v>
      </c>
      <c r="F52" s="101">
        <f>0.9*(229.2/0.15)</f>
        <v>1375.2</v>
      </c>
      <c r="G52" s="101">
        <v>0.16</v>
      </c>
      <c r="H52" s="126">
        <f>G52*F52</f>
        <v>220.03200000000001</v>
      </c>
    </row>
    <row r="53" spans="2:8" s="25" customFormat="1" ht="15.75" x14ac:dyDescent="0.25">
      <c r="B53" s="174" t="s">
        <v>83</v>
      </c>
      <c r="C53" s="162">
        <v>60517</v>
      </c>
      <c r="D53" s="33" t="s">
        <v>84</v>
      </c>
      <c r="E53" s="34" t="s">
        <v>33</v>
      </c>
      <c r="F53" s="104" t="s">
        <v>85</v>
      </c>
      <c r="G53" s="104" t="s">
        <v>16</v>
      </c>
      <c r="H53" s="122">
        <f>SUM(H54:H54)</f>
        <v>14.324999999999999</v>
      </c>
    </row>
    <row r="54" spans="2:8" s="25" customFormat="1" ht="24" customHeight="1" x14ac:dyDescent="0.25">
      <c r="B54" s="182"/>
      <c r="C54" s="183"/>
      <c r="D54" s="28" t="s">
        <v>86</v>
      </c>
      <c r="E54" s="27" t="s">
        <v>33</v>
      </c>
      <c r="F54" s="101">
        <f>0.25*0.25</f>
        <v>6.25E-2</v>
      </c>
      <c r="G54" s="101">
        <v>229.2</v>
      </c>
      <c r="H54" s="126">
        <f>G54*F54</f>
        <v>14.324999999999999</v>
      </c>
    </row>
    <row r="55" spans="2:8" s="25" customFormat="1" ht="15.75" x14ac:dyDescent="0.25">
      <c r="B55" s="174" t="s">
        <v>87</v>
      </c>
      <c r="C55" s="162">
        <v>60801</v>
      </c>
      <c r="D55" s="33" t="s">
        <v>88</v>
      </c>
      <c r="E55" s="34" t="s">
        <v>33</v>
      </c>
      <c r="F55" s="104" t="s">
        <v>85</v>
      </c>
      <c r="G55" s="104" t="s">
        <v>16</v>
      </c>
      <c r="H55" s="122">
        <f>SUM(H56:H56)</f>
        <v>14.324999999999999</v>
      </c>
    </row>
    <row r="56" spans="2:8" s="25" customFormat="1" ht="21" customHeight="1" x14ac:dyDescent="0.25">
      <c r="B56" s="182"/>
      <c r="C56" s="183"/>
      <c r="D56" s="28" t="s">
        <v>86</v>
      </c>
      <c r="E56" s="27" t="s">
        <v>33</v>
      </c>
      <c r="F56" s="101">
        <f>0.25*0.25</f>
        <v>6.25E-2</v>
      </c>
      <c r="G56" s="101">
        <v>229.2</v>
      </c>
      <c r="H56" s="126">
        <f>G56*F56</f>
        <v>14.324999999999999</v>
      </c>
    </row>
    <row r="57" spans="2:8" s="25" customFormat="1" ht="15.75" x14ac:dyDescent="0.25">
      <c r="B57" s="332"/>
      <c r="C57" s="272"/>
      <c r="D57" s="378" t="s">
        <v>89</v>
      </c>
      <c r="E57" s="379"/>
      <c r="F57" s="379"/>
      <c r="G57" s="379"/>
      <c r="H57" s="271" t="s">
        <v>50</v>
      </c>
    </row>
    <row r="58" spans="2:8" s="25" customFormat="1" ht="15.75" x14ac:dyDescent="0.25">
      <c r="B58" s="174" t="s">
        <v>90</v>
      </c>
      <c r="C58" s="162" t="s">
        <v>76</v>
      </c>
      <c r="D58" s="33" t="s">
        <v>77</v>
      </c>
      <c r="E58" s="34" t="s">
        <v>78</v>
      </c>
      <c r="F58" s="104" t="s">
        <v>16</v>
      </c>
      <c r="G58" s="104" t="s">
        <v>61</v>
      </c>
      <c r="H58" s="122">
        <f>SUM(H59:H59)</f>
        <v>109.20000000000002</v>
      </c>
    </row>
    <row r="59" spans="2:8" s="25" customFormat="1" ht="24.75" customHeight="1" x14ac:dyDescent="0.25">
      <c r="B59" s="182"/>
      <c r="C59" s="176"/>
      <c r="D59" s="28" t="s">
        <v>91</v>
      </c>
      <c r="E59" s="27" t="s">
        <v>78</v>
      </c>
      <c r="F59" s="101">
        <v>3</v>
      </c>
      <c r="G59" s="101">
        <v>0.4</v>
      </c>
      <c r="H59" s="126">
        <f>G59*F59*91</f>
        <v>109.20000000000002</v>
      </c>
    </row>
    <row r="60" spans="2:8" s="25" customFormat="1" ht="15.75" x14ac:dyDescent="0.25">
      <c r="B60" s="174" t="s">
        <v>92</v>
      </c>
      <c r="C60" s="181">
        <v>60314</v>
      </c>
      <c r="D60" s="33" t="s">
        <v>81</v>
      </c>
      <c r="E60" s="34" t="s">
        <v>78</v>
      </c>
      <c r="F60" s="104" t="s">
        <v>16</v>
      </c>
      <c r="G60" s="104" t="s">
        <v>61</v>
      </c>
      <c r="H60" s="122">
        <f>SUM(H61:H61)</f>
        <v>262.08</v>
      </c>
    </row>
    <row r="61" spans="2:8" s="25" customFormat="1" ht="23.25" customHeight="1" x14ac:dyDescent="0.25">
      <c r="B61" s="182"/>
      <c r="C61" s="183"/>
      <c r="D61" s="28" t="s">
        <v>82</v>
      </c>
      <c r="E61" s="27" t="s">
        <v>78</v>
      </c>
      <c r="F61" s="101">
        <f>0.9*(3/0.15)</f>
        <v>18</v>
      </c>
      <c r="G61" s="101">
        <v>0.16</v>
      </c>
      <c r="H61" s="126">
        <f>G61*F61*91</f>
        <v>262.08</v>
      </c>
    </row>
    <row r="62" spans="2:8" s="25" customFormat="1" ht="15.75" x14ac:dyDescent="0.25">
      <c r="B62" s="174" t="s">
        <v>93</v>
      </c>
      <c r="C62" s="162">
        <v>60517</v>
      </c>
      <c r="D62" s="33" t="s">
        <v>84</v>
      </c>
      <c r="E62" s="34" t="s">
        <v>33</v>
      </c>
      <c r="F62" s="104" t="s">
        <v>85</v>
      </c>
      <c r="G62" s="104" t="s">
        <v>16</v>
      </c>
      <c r="H62" s="122">
        <f>SUM(H63:H63)</f>
        <v>17.0625</v>
      </c>
    </row>
    <row r="63" spans="2:8" s="25" customFormat="1" ht="24" customHeight="1" x14ac:dyDescent="0.25">
      <c r="B63" s="182"/>
      <c r="C63" s="183"/>
      <c r="D63" s="28" t="s">
        <v>94</v>
      </c>
      <c r="E63" s="27" t="s">
        <v>33</v>
      </c>
      <c r="F63" s="101">
        <f>0.25*0.25</f>
        <v>6.25E-2</v>
      </c>
      <c r="G63" s="101">
        <f>3</f>
        <v>3</v>
      </c>
      <c r="H63" s="126">
        <f>G63*F63*91</f>
        <v>17.0625</v>
      </c>
    </row>
    <row r="64" spans="2:8" s="25" customFormat="1" ht="15.75" x14ac:dyDescent="0.25">
      <c r="B64" s="174" t="s">
        <v>95</v>
      </c>
      <c r="C64" s="162">
        <v>60801</v>
      </c>
      <c r="D64" s="33" t="s">
        <v>88</v>
      </c>
      <c r="E64" s="34" t="s">
        <v>33</v>
      </c>
      <c r="F64" s="104" t="s">
        <v>85</v>
      </c>
      <c r="G64" s="104" t="s">
        <v>16</v>
      </c>
      <c r="H64" s="122">
        <f>SUM(H65:H65)</f>
        <v>17.0625</v>
      </c>
    </row>
    <row r="65" spans="2:8" s="25" customFormat="1" ht="24.75" customHeight="1" x14ac:dyDescent="0.25">
      <c r="B65" s="182"/>
      <c r="C65" s="183"/>
      <c r="D65" s="28" t="s">
        <v>94</v>
      </c>
      <c r="E65" s="27" t="s">
        <v>33</v>
      </c>
      <c r="F65" s="101">
        <f>0.25*0.25</f>
        <v>6.25E-2</v>
      </c>
      <c r="G65" s="101">
        <f>3</f>
        <v>3</v>
      </c>
      <c r="H65" s="126">
        <f>G65*F65*91</f>
        <v>17.0625</v>
      </c>
    </row>
    <row r="66" spans="2:8" s="25" customFormat="1" ht="15.75" x14ac:dyDescent="0.25">
      <c r="B66" s="174" t="s">
        <v>96</v>
      </c>
      <c r="C66" s="162">
        <v>60209</v>
      </c>
      <c r="D66" s="33" t="s">
        <v>97</v>
      </c>
      <c r="E66" s="34" t="s">
        <v>21</v>
      </c>
      <c r="F66" s="104" t="s">
        <v>22</v>
      </c>
      <c r="G66" s="104" t="s">
        <v>54</v>
      </c>
      <c r="H66" s="122">
        <f>SUM(H67:H67)</f>
        <v>136.5</v>
      </c>
    </row>
    <row r="67" spans="2:8" s="25" customFormat="1" ht="25.5" customHeight="1" x14ac:dyDescent="0.25">
      <c r="B67" s="182"/>
      <c r="C67" s="183"/>
      <c r="D67" s="28" t="s">
        <v>98</v>
      </c>
      <c r="E67" s="27" t="s">
        <v>21</v>
      </c>
      <c r="F67" s="101">
        <v>0.25</v>
      </c>
      <c r="G67" s="101">
        <v>3</v>
      </c>
      <c r="H67" s="126">
        <f>(G67*F67*2*91)</f>
        <v>136.5</v>
      </c>
    </row>
    <row r="68" spans="2:8" s="25" customFormat="1" ht="15.75" x14ac:dyDescent="0.25">
      <c r="B68" s="202" t="s">
        <v>99</v>
      </c>
      <c r="C68" s="203"/>
      <c r="D68" s="200"/>
      <c r="E68" s="200"/>
      <c r="F68" s="200"/>
      <c r="G68" s="200"/>
      <c r="H68" s="201"/>
    </row>
    <row r="69" spans="2:8" s="25" customFormat="1" ht="15.75" x14ac:dyDescent="0.25">
      <c r="B69" s="180">
        <v>6</v>
      </c>
      <c r="C69" s="161" t="s">
        <v>100</v>
      </c>
      <c r="D69" s="369" t="s">
        <v>101</v>
      </c>
      <c r="E69" s="370"/>
      <c r="F69" s="370"/>
      <c r="G69" s="371"/>
      <c r="H69" s="125" t="s">
        <v>11</v>
      </c>
    </row>
    <row r="70" spans="2:8" s="25" customFormat="1" ht="15.75" x14ac:dyDescent="0.25">
      <c r="B70" s="174" t="s">
        <v>102</v>
      </c>
      <c r="C70" s="162" t="s">
        <v>103</v>
      </c>
      <c r="D70" s="63" t="s">
        <v>104</v>
      </c>
      <c r="E70" s="100" t="s">
        <v>15</v>
      </c>
      <c r="F70" s="343" t="s">
        <v>16</v>
      </c>
      <c r="G70" s="343"/>
      <c r="H70" s="122">
        <f>H71</f>
        <v>15</v>
      </c>
    </row>
    <row r="71" spans="2:8" s="25" customFormat="1" ht="15" x14ac:dyDescent="0.25">
      <c r="B71" s="191"/>
      <c r="C71" s="210"/>
      <c r="D71" s="24" t="s">
        <v>105</v>
      </c>
      <c r="E71" s="27"/>
      <c r="F71" s="342">
        <v>15</v>
      </c>
      <c r="G71" s="342"/>
      <c r="H71" s="121">
        <f>F71</f>
        <v>15</v>
      </c>
    </row>
    <row r="72" spans="2:8" s="25" customFormat="1" ht="15.75" x14ac:dyDescent="0.25">
      <c r="B72" s="174" t="s">
        <v>106</v>
      </c>
      <c r="C72" s="162" t="s">
        <v>103</v>
      </c>
      <c r="D72" s="63" t="s">
        <v>107</v>
      </c>
      <c r="E72" s="100" t="s">
        <v>15</v>
      </c>
      <c r="F72" s="343" t="s">
        <v>16</v>
      </c>
      <c r="G72" s="343"/>
      <c r="H72" s="122">
        <f>H73</f>
        <v>15</v>
      </c>
    </row>
    <row r="73" spans="2:8" s="25" customFormat="1" ht="15" x14ac:dyDescent="0.25">
      <c r="B73" s="191"/>
      <c r="C73" s="210"/>
      <c r="D73" s="24" t="s">
        <v>105</v>
      </c>
      <c r="E73" s="27"/>
      <c r="F73" s="342">
        <v>15</v>
      </c>
      <c r="G73" s="342"/>
      <c r="H73" s="121">
        <f>F73</f>
        <v>15</v>
      </c>
    </row>
    <row r="74" spans="2:8" s="25" customFormat="1" ht="15.75" x14ac:dyDescent="0.25">
      <c r="B74" s="174" t="s">
        <v>108</v>
      </c>
      <c r="C74" s="162" t="s">
        <v>103</v>
      </c>
      <c r="D74" s="63" t="s">
        <v>109</v>
      </c>
      <c r="E74" s="100" t="s">
        <v>15</v>
      </c>
      <c r="F74" s="343" t="s">
        <v>16</v>
      </c>
      <c r="G74" s="343"/>
      <c r="H74" s="122">
        <f>H75</f>
        <v>15</v>
      </c>
    </row>
    <row r="75" spans="2:8" s="25" customFormat="1" ht="15" x14ac:dyDescent="0.25">
      <c r="B75" s="191"/>
      <c r="C75" s="210"/>
      <c r="D75" s="24" t="s">
        <v>105</v>
      </c>
      <c r="E75" s="27"/>
      <c r="F75" s="342">
        <v>15</v>
      </c>
      <c r="G75" s="342"/>
      <c r="H75" s="121">
        <f>F75</f>
        <v>15</v>
      </c>
    </row>
    <row r="76" spans="2:8" s="25" customFormat="1" ht="15.75" x14ac:dyDescent="0.25">
      <c r="B76" s="174" t="s">
        <v>110</v>
      </c>
      <c r="C76" s="162">
        <v>71194</v>
      </c>
      <c r="D76" s="63" t="s">
        <v>111</v>
      </c>
      <c r="E76" s="100" t="s">
        <v>15</v>
      </c>
      <c r="F76" s="343" t="s">
        <v>16</v>
      </c>
      <c r="G76" s="343"/>
      <c r="H76" s="122">
        <f>H77</f>
        <v>15</v>
      </c>
    </row>
    <row r="77" spans="2:8" s="25" customFormat="1" ht="15" x14ac:dyDescent="0.25">
      <c r="B77" s="191"/>
      <c r="C77" s="210"/>
      <c r="D77" s="24" t="s">
        <v>105</v>
      </c>
      <c r="E77" s="27"/>
      <c r="F77" s="342">
        <v>15</v>
      </c>
      <c r="G77" s="342"/>
      <c r="H77" s="121">
        <f>F77</f>
        <v>15</v>
      </c>
    </row>
    <row r="78" spans="2:8" s="25" customFormat="1" ht="15.75" x14ac:dyDescent="0.25">
      <c r="B78" s="174" t="s">
        <v>112</v>
      </c>
      <c r="C78" s="162" t="s">
        <v>113</v>
      </c>
      <c r="D78" s="63" t="s">
        <v>114</v>
      </c>
      <c r="E78" s="100" t="s">
        <v>115</v>
      </c>
      <c r="F78" s="343" t="s">
        <v>116</v>
      </c>
      <c r="G78" s="343"/>
      <c r="H78" s="122">
        <f>H79</f>
        <v>1</v>
      </c>
    </row>
    <row r="79" spans="2:8" s="25" customFormat="1" ht="15" x14ac:dyDescent="0.25">
      <c r="B79" s="191"/>
      <c r="C79" s="210"/>
      <c r="D79" s="24" t="s">
        <v>105</v>
      </c>
      <c r="E79" s="27"/>
      <c r="F79" s="342">
        <v>1</v>
      </c>
      <c r="G79" s="342"/>
      <c r="H79" s="121">
        <f>F79</f>
        <v>1</v>
      </c>
    </row>
    <row r="80" spans="2:8" s="25" customFormat="1" ht="15.75" x14ac:dyDescent="0.25">
      <c r="B80" s="174" t="s">
        <v>117</v>
      </c>
      <c r="C80" s="162" t="s">
        <v>118</v>
      </c>
      <c r="D80" s="63" t="s">
        <v>119</v>
      </c>
      <c r="E80" s="100" t="s">
        <v>115</v>
      </c>
      <c r="F80" s="343" t="s">
        <v>116</v>
      </c>
      <c r="G80" s="343"/>
      <c r="H80" s="122">
        <f>H81</f>
        <v>1</v>
      </c>
    </row>
    <row r="81" spans="1:8" s="25" customFormat="1" ht="15" x14ac:dyDescent="0.25">
      <c r="B81" s="191"/>
      <c r="C81" s="210"/>
      <c r="D81" s="24" t="s">
        <v>105</v>
      </c>
      <c r="E81" s="27"/>
      <c r="F81" s="342">
        <v>1</v>
      </c>
      <c r="G81" s="342"/>
      <c r="H81" s="121">
        <f>F81</f>
        <v>1</v>
      </c>
    </row>
    <row r="82" spans="1:8" s="25" customFormat="1" ht="15.75" x14ac:dyDescent="0.25">
      <c r="B82" s="174" t="s">
        <v>120</v>
      </c>
      <c r="C82" s="162" t="s">
        <v>121</v>
      </c>
      <c r="D82" s="63" t="s">
        <v>122</v>
      </c>
      <c r="E82" s="100" t="s">
        <v>15</v>
      </c>
      <c r="F82" s="343" t="s">
        <v>16</v>
      </c>
      <c r="G82" s="343"/>
      <c r="H82" s="122">
        <f>H83</f>
        <v>15</v>
      </c>
    </row>
    <row r="83" spans="1:8" s="25" customFormat="1" ht="15" x14ac:dyDescent="0.25">
      <c r="B83" s="191"/>
      <c r="C83" s="210"/>
      <c r="D83" s="24" t="s">
        <v>105</v>
      </c>
      <c r="E83" s="27"/>
      <c r="F83" s="342">
        <v>15</v>
      </c>
      <c r="G83" s="342"/>
      <c r="H83" s="121">
        <f>F83</f>
        <v>15</v>
      </c>
    </row>
    <row r="84" spans="1:8" s="25" customFormat="1" ht="15.75" x14ac:dyDescent="0.25">
      <c r="B84" s="202" t="s">
        <v>123</v>
      </c>
      <c r="C84" s="203"/>
      <c r="D84" s="200"/>
      <c r="E84" s="200"/>
      <c r="F84" s="200"/>
      <c r="G84" s="200"/>
      <c r="H84" s="201"/>
    </row>
    <row r="85" spans="1:8" s="25" customFormat="1" ht="15.75" x14ac:dyDescent="0.25">
      <c r="B85" s="180" t="s">
        <v>124</v>
      </c>
      <c r="C85" s="161">
        <v>100000</v>
      </c>
      <c r="D85" s="339" t="s">
        <v>125</v>
      </c>
      <c r="E85" s="340"/>
      <c r="F85" s="340"/>
      <c r="G85" s="341"/>
      <c r="H85" s="125" t="s">
        <v>50</v>
      </c>
    </row>
    <row r="86" spans="1:8" s="25" customFormat="1" ht="31.5" x14ac:dyDescent="0.25">
      <c r="A86" s="61"/>
      <c r="B86" s="174" t="s">
        <v>126</v>
      </c>
      <c r="C86" s="162">
        <v>100160</v>
      </c>
      <c r="D86" s="38" t="s">
        <v>127</v>
      </c>
      <c r="E86" s="66" t="s">
        <v>21</v>
      </c>
      <c r="F86" s="141" t="s">
        <v>16</v>
      </c>
      <c r="G86" s="141" t="s">
        <v>22</v>
      </c>
      <c r="H86" s="122">
        <f>SUM(H87)</f>
        <v>641.75999999999988</v>
      </c>
    </row>
    <row r="87" spans="1:8" s="25" customFormat="1" ht="15" x14ac:dyDescent="0.25">
      <c r="B87" s="182"/>
      <c r="C87" s="183"/>
      <c r="D87" s="28" t="s">
        <v>128</v>
      </c>
      <c r="E87" s="27" t="s">
        <v>21</v>
      </c>
      <c r="F87" s="26">
        <v>229.2</v>
      </c>
      <c r="G87" s="26">
        <v>2.8</v>
      </c>
      <c r="H87" s="126">
        <f>F87*G87</f>
        <v>641.75999999999988</v>
      </c>
    </row>
    <row r="88" spans="1:8" s="25" customFormat="1" ht="15.75" x14ac:dyDescent="0.25">
      <c r="B88" s="202" t="s">
        <v>129</v>
      </c>
      <c r="C88" s="203"/>
      <c r="D88" s="200"/>
      <c r="E88" s="200"/>
      <c r="F88" s="200"/>
      <c r="G88" s="200"/>
      <c r="H88" s="201"/>
    </row>
    <row r="89" spans="1:8" s="25" customFormat="1" ht="15.75" x14ac:dyDescent="0.25">
      <c r="B89" s="180" t="s">
        <v>130</v>
      </c>
      <c r="C89" s="161">
        <v>120000</v>
      </c>
      <c r="D89" s="339" t="s">
        <v>131</v>
      </c>
      <c r="E89" s="340"/>
      <c r="F89" s="340"/>
      <c r="G89" s="341"/>
      <c r="H89" s="125" t="s">
        <v>50</v>
      </c>
    </row>
    <row r="90" spans="1:8" s="25" customFormat="1" ht="15.75" x14ac:dyDescent="0.25">
      <c r="B90" s="174" t="s">
        <v>132</v>
      </c>
      <c r="C90" s="162" t="s">
        <v>133</v>
      </c>
      <c r="D90" s="33" t="s">
        <v>134</v>
      </c>
      <c r="E90" s="66" t="s">
        <v>21</v>
      </c>
      <c r="F90" s="100" t="s">
        <v>16</v>
      </c>
      <c r="G90" s="100" t="s">
        <v>54</v>
      </c>
      <c r="H90" s="122">
        <f>SUM(H91:H91)</f>
        <v>137.52000000000001</v>
      </c>
    </row>
    <row r="91" spans="1:8" s="25" customFormat="1" ht="15" x14ac:dyDescent="0.25">
      <c r="B91" s="182"/>
      <c r="C91" s="183"/>
      <c r="D91" s="28" t="s">
        <v>135</v>
      </c>
      <c r="E91" s="27" t="s">
        <v>21</v>
      </c>
      <c r="F91" s="26">
        <v>229.2</v>
      </c>
      <c r="G91" s="103">
        <v>0.2</v>
      </c>
      <c r="H91" s="121">
        <f>G91*F91*3</f>
        <v>137.52000000000001</v>
      </c>
    </row>
    <row r="92" spans="1:8" s="25" customFormat="1" ht="15.75" x14ac:dyDescent="0.25">
      <c r="B92" s="202" t="s">
        <v>136</v>
      </c>
      <c r="C92" s="203"/>
      <c r="D92" s="204"/>
      <c r="E92" s="204"/>
      <c r="F92" s="204"/>
      <c r="G92" s="204"/>
      <c r="H92" s="209"/>
    </row>
    <row r="93" spans="1:8" s="25" customFormat="1" ht="15.75" x14ac:dyDescent="0.25">
      <c r="B93" s="180" t="s">
        <v>137</v>
      </c>
      <c r="C93" s="161">
        <v>200000</v>
      </c>
      <c r="D93" s="339" t="s">
        <v>138</v>
      </c>
      <c r="E93" s="340"/>
      <c r="F93" s="340"/>
      <c r="G93" s="341"/>
      <c r="H93" s="125" t="s">
        <v>50</v>
      </c>
    </row>
    <row r="94" spans="1:8" s="61" customFormat="1" ht="15.6" customHeight="1" x14ac:dyDescent="0.25">
      <c r="A94" s="25"/>
      <c r="B94" s="174" t="s">
        <v>139</v>
      </c>
      <c r="C94" s="162">
        <v>200101</v>
      </c>
      <c r="D94" s="30" t="s">
        <v>140</v>
      </c>
      <c r="E94" s="66" t="s">
        <v>21</v>
      </c>
      <c r="F94" s="100" t="s">
        <v>16</v>
      </c>
      <c r="G94" s="100" t="s">
        <v>54</v>
      </c>
      <c r="H94" s="122">
        <f>SUM(H95:H95)</f>
        <v>1283.5199999999998</v>
      </c>
    </row>
    <row r="95" spans="1:8" s="25" customFormat="1" ht="15.75" x14ac:dyDescent="0.25">
      <c r="B95" s="374"/>
      <c r="C95" s="375"/>
      <c r="D95" s="24" t="s">
        <v>128</v>
      </c>
      <c r="E95" s="82" t="s">
        <v>21</v>
      </c>
      <c r="F95" s="103">
        <v>229.2</v>
      </c>
      <c r="G95" s="103">
        <v>2.8</v>
      </c>
      <c r="H95" s="123">
        <f>G95*F95*2</f>
        <v>1283.5199999999998</v>
      </c>
    </row>
    <row r="96" spans="1:8" s="25" customFormat="1" ht="15.75" x14ac:dyDescent="0.25">
      <c r="B96" s="174" t="s">
        <v>141</v>
      </c>
      <c r="C96" s="162">
        <v>200201</v>
      </c>
      <c r="D96" s="30" t="s">
        <v>142</v>
      </c>
      <c r="E96" s="66" t="s">
        <v>21</v>
      </c>
      <c r="F96" s="100" t="s">
        <v>16</v>
      </c>
      <c r="G96" s="100" t="s">
        <v>143</v>
      </c>
      <c r="H96" s="122">
        <f>SUM(H97:H97)</f>
        <v>1283.5199999999998</v>
      </c>
    </row>
    <row r="97" spans="2:8" s="25" customFormat="1" ht="15" x14ac:dyDescent="0.25">
      <c r="B97" s="362"/>
      <c r="C97" s="363"/>
      <c r="D97" s="24" t="s">
        <v>128</v>
      </c>
      <c r="E97" s="82" t="s">
        <v>21</v>
      </c>
      <c r="F97" s="103">
        <v>229.2</v>
      </c>
      <c r="G97" s="103">
        <v>2.8</v>
      </c>
      <c r="H97" s="123">
        <f>G97*F97*2</f>
        <v>1283.5199999999998</v>
      </c>
    </row>
    <row r="98" spans="2:8" s="61" customFormat="1" ht="15.75" x14ac:dyDescent="0.25">
      <c r="B98" s="174" t="s">
        <v>144</v>
      </c>
      <c r="C98" s="162">
        <v>200403</v>
      </c>
      <c r="D98" s="30" t="s">
        <v>145</v>
      </c>
      <c r="E98" s="66" t="s">
        <v>21</v>
      </c>
      <c r="F98" s="100" t="s">
        <v>16</v>
      </c>
      <c r="G98" s="100" t="s">
        <v>54</v>
      </c>
      <c r="H98" s="122">
        <f>SUM(H99:H99)</f>
        <v>1283.5199999999998</v>
      </c>
    </row>
    <row r="99" spans="2:8" s="61" customFormat="1" ht="15" x14ac:dyDescent="0.25">
      <c r="B99" s="184"/>
      <c r="C99" s="216"/>
      <c r="D99" s="24" t="s">
        <v>128</v>
      </c>
      <c r="E99" s="82" t="s">
        <v>21</v>
      </c>
      <c r="F99" s="103">
        <v>229.2</v>
      </c>
      <c r="G99" s="103">
        <v>2.8</v>
      </c>
      <c r="H99" s="123">
        <f>G99*F99*2</f>
        <v>1283.5199999999998</v>
      </c>
    </row>
    <row r="100" spans="2:8" s="61" customFormat="1" ht="31.5" x14ac:dyDescent="0.25">
      <c r="B100" s="174" t="s">
        <v>146</v>
      </c>
      <c r="C100" s="162">
        <v>201410</v>
      </c>
      <c r="D100" s="33" t="s">
        <v>147</v>
      </c>
      <c r="E100" s="66" t="s">
        <v>21</v>
      </c>
      <c r="F100" s="146" t="s">
        <v>16</v>
      </c>
      <c r="G100" s="146" t="s">
        <v>22</v>
      </c>
      <c r="H100" s="122">
        <f>SUM(H101:H101)</f>
        <v>45.84</v>
      </c>
    </row>
    <row r="101" spans="2:8" s="61" customFormat="1" ht="15" x14ac:dyDescent="0.25">
      <c r="B101" s="185"/>
      <c r="C101" s="186"/>
      <c r="D101" s="69" t="s">
        <v>128</v>
      </c>
      <c r="E101" s="82" t="s">
        <v>21</v>
      </c>
      <c r="F101" s="102">
        <v>229.2</v>
      </c>
      <c r="G101" s="101">
        <v>0.2</v>
      </c>
      <c r="H101" s="126">
        <f>G101*F101</f>
        <v>45.84</v>
      </c>
    </row>
    <row r="102" spans="2:8" s="61" customFormat="1" ht="15.75" x14ac:dyDescent="0.25">
      <c r="B102" s="205" t="s">
        <v>148</v>
      </c>
      <c r="C102" s="206"/>
      <c r="D102" s="206"/>
      <c r="E102" s="206"/>
      <c r="F102" s="206"/>
      <c r="G102" s="206"/>
      <c r="H102" s="221"/>
    </row>
    <row r="103" spans="2:8" s="61" customFormat="1" ht="15.75" x14ac:dyDescent="0.25">
      <c r="B103" s="180" t="s">
        <v>149</v>
      </c>
      <c r="C103" s="161" t="s">
        <v>150</v>
      </c>
      <c r="D103" s="339" t="s">
        <v>151</v>
      </c>
      <c r="E103" s="340"/>
      <c r="F103" s="340"/>
      <c r="G103" s="341"/>
      <c r="H103" s="125" t="s">
        <v>11</v>
      </c>
    </row>
    <row r="104" spans="2:8" s="61" customFormat="1" ht="15.75" x14ac:dyDescent="0.25">
      <c r="B104" s="174" t="s">
        <v>152</v>
      </c>
      <c r="C104" s="162" t="s">
        <v>153</v>
      </c>
      <c r="D104" s="32" t="s">
        <v>154</v>
      </c>
      <c r="E104" s="31" t="s">
        <v>155</v>
      </c>
      <c r="F104" s="364" t="s">
        <v>156</v>
      </c>
      <c r="G104" s="365"/>
      <c r="H104" s="122">
        <f>H105</f>
        <v>278.64</v>
      </c>
    </row>
    <row r="105" spans="2:8" s="61" customFormat="1" ht="15.75" x14ac:dyDescent="0.25">
      <c r="B105" s="219"/>
      <c r="C105" s="222"/>
      <c r="D105" s="223" t="s">
        <v>157</v>
      </c>
      <c r="E105" s="82" t="s">
        <v>158</v>
      </c>
      <c r="F105" s="366">
        <v>34.83</v>
      </c>
      <c r="G105" s="367"/>
      <c r="H105" s="101">
        <f>F105*8</f>
        <v>278.64</v>
      </c>
    </row>
    <row r="106" spans="2:8" s="25" customFormat="1" ht="15.75" x14ac:dyDescent="0.25">
      <c r="B106" s="205" t="s">
        <v>159</v>
      </c>
      <c r="C106" s="206"/>
      <c r="D106" s="206"/>
      <c r="E106" s="206"/>
      <c r="F106" s="206"/>
      <c r="G106" s="206"/>
      <c r="H106" s="221"/>
    </row>
    <row r="107" spans="2:8" s="25" customFormat="1" ht="15.75" x14ac:dyDescent="0.25">
      <c r="B107" s="180" t="s">
        <v>160</v>
      </c>
      <c r="C107" s="161">
        <v>260000</v>
      </c>
      <c r="D107" s="339" t="s">
        <v>161</v>
      </c>
      <c r="E107" s="340"/>
      <c r="F107" s="340"/>
      <c r="G107" s="341"/>
      <c r="H107" s="125" t="s">
        <v>11</v>
      </c>
    </row>
    <row r="108" spans="2:8" s="25" customFormat="1" ht="15.75" x14ac:dyDescent="0.25">
      <c r="B108" s="174" t="s">
        <v>162</v>
      </c>
      <c r="C108" s="162">
        <v>261001</v>
      </c>
      <c r="D108" s="32" t="s">
        <v>163</v>
      </c>
      <c r="E108" s="31" t="s">
        <v>21</v>
      </c>
      <c r="F108" s="148" t="s">
        <v>16</v>
      </c>
      <c r="G108" s="149" t="s">
        <v>54</v>
      </c>
      <c r="H108" s="122">
        <f>H109</f>
        <v>1283.5199999999998</v>
      </c>
    </row>
    <row r="109" spans="2:8" s="25" customFormat="1" ht="15" x14ac:dyDescent="0.25">
      <c r="B109" s="182"/>
      <c r="C109" s="183"/>
      <c r="D109" s="24" t="s">
        <v>128</v>
      </c>
      <c r="E109" s="128" t="s">
        <v>21</v>
      </c>
      <c r="F109" s="150">
        <v>229.2</v>
      </c>
      <c r="G109" s="150">
        <v>2.8</v>
      </c>
      <c r="H109" s="147">
        <f>G109*F109*2</f>
        <v>1283.5199999999998</v>
      </c>
    </row>
    <row r="110" spans="2:8" s="25" customFormat="1" ht="15.75" x14ac:dyDescent="0.25">
      <c r="B110" s="205" t="s">
        <v>164</v>
      </c>
      <c r="C110" s="206"/>
      <c r="D110" s="220"/>
      <c r="E110" s="206"/>
      <c r="F110" s="206"/>
      <c r="G110" s="206"/>
      <c r="H110" s="221"/>
    </row>
    <row r="111" spans="2:8" s="25" customFormat="1" ht="15.75" x14ac:dyDescent="0.25">
      <c r="B111" s="180" t="s">
        <v>165</v>
      </c>
      <c r="C111" s="161">
        <v>270000</v>
      </c>
      <c r="D111" s="339" t="s">
        <v>166</v>
      </c>
      <c r="E111" s="340"/>
      <c r="F111" s="340"/>
      <c r="G111" s="341"/>
      <c r="H111" s="125" t="s">
        <v>11</v>
      </c>
    </row>
    <row r="112" spans="2:8" s="25" customFormat="1" ht="15.75" x14ac:dyDescent="0.25">
      <c r="B112" s="174" t="s">
        <v>167</v>
      </c>
      <c r="C112" s="162">
        <v>270501</v>
      </c>
      <c r="D112" s="64" t="s">
        <v>168</v>
      </c>
      <c r="E112" s="66" t="s">
        <v>21</v>
      </c>
      <c r="F112" s="146" t="s">
        <v>16</v>
      </c>
      <c r="G112" s="146" t="s">
        <v>22</v>
      </c>
      <c r="H112" s="122">
        <f>H113</f>
        <v>229.2</v>
      </c>
    </row>
    <row r="113" spans="2:9" s="25" customFormat="1" ht="29.25" customHeight="1" x14ac:dyDescent="0.25">
      <c r="B113" s="359"/>
      <c r="C113" s="360"/>
      <c r="D113" s="29" t="s">
        <v>169</v>
      </c>
      <c r="E113" s="77" t="s">
        <v>21</v>
      </c>
      <c r="F113" s="275">
        <v>229.2</v>
      </c>
      <c r="G113" s="278">
        <v>1</v>
      </c>
      <c r="H113" s="124">
        <f>F113*G113</f>
        <v>229.2</v>
      </c>
    </row>
    <row r="114" spans="2:9" s="25" customFormat="1" ht="15.75" x14ac:dyDescent="0.25">
      <c r="B114" s="174" t="s">
        <v>170</v>
      </c>
      <c r="C114" s="162" t="s">
        <v>171</v>
      </c>
      <c r="D114" s="64" t="s">
        <v>172</v>
      </c>
      <c r="E114" s="66" t="s">
        <v>15</v>
      </c>
      <c r="F114" s="376" t="s">
        <v>16</v>
      </c>
      <c r="G114" s="377"/>
      <c r="H114" s="122">
        <f>H115</f>
        <v>229.2</v>
      </c>
    </row>
    <row r="115" spans="2:9" s="25" customFormat="1" ht="22.5" customHeight="1" thickBot="1" x14ac:dyDescent="0.3">
      <c r="B115" s="359"/>
      <c r="C115" s="360"/>
      <c r="D115" s="29" t="s">
        <v>128</v>
      </c>
      <c r="E115" s="77" t="s">
        <v>15</v>
      </c>
      <c r="F115" s="361">
        <v>229.2</v>
      </c>
      <c r="G115" s="361"/>
      <c r="H115" s="124">
        <f>F115</f>
        <v>229.2</v>
      </c>
    </row>
    <row r="116" spans="2:9" s="25" customFormat="1" ht="15" x14ac:dyDescent="0.25">
      <c r="B116" s="217"/>
      <c r="C116" s="225"/>
      <c r="D116" s="226"/>
      <c r="E116" s="227"/>
      <c r="F116" s="228"/>
      <c r="G116" s="229"/>
      <c r="H116" s="230"/>
    </row>
    <row r="117" spans="2:9" s="25" customFormat="1" ht="18" x14ac:dyDescent="0.25">
      <c r="B117" s="218"/>
      <c r="C117" s="231" t="s">
        <v>173</v>
      </c>
      <c r="D117" s="231"/>
      <c r="E117" s="231"/>
      <c r="F117" s="231"/>
      <c r="G117" s="231"/>
      <c r="H117" s="232"/>
      <c r="I117" s="233"/>
    </row>
    <row r="118" spans="2:9" s="25" customFormat="1" ht="18" x14ac:dyDescent="0.25">
      <c r="B118" s="13"/>
      <c r="C118" s="234"/>
      <c r="D118" s="235"/>
      <c r="E118" s="335"/>
      <c r="F118" s="335"/>
      <c r="G118" s="335"/>
      <c r="H118" s="336"/>
      <c r="I118" s="236"/>
    </row>
    <row r="119" spans="2:9" s="25" customFormat="1" ht="18" x14ac:dyDescent="0.25">
      <c r="B119" s="13"/>
      <c r="C119" s="14"/>
      <c r="D119" s="237" t="s">
        <v>174</v>
      </c>
      <c r="E119" s="335"/>
      <c r="F119" s="335"/>
      <c r="G119" s="335"/>
      <c r="H119" s="336"/>
      <c r="I119" s="236"/>
    </row>
    <row r="120" spans="2:9" s="25" customFormat="1" ht="15" customHeight="1" x14ac:dyDescent="0.25">
      <c r="B120" s="13"/>
      <c r="C120" s="14"/>
      <c r="D120" s="190" t="s">
        <v>175</v>
      </c>
      <c r="E120" s="335"/>
      <c r="F120" s="335"/>
      <c r="G120" s="335"/>
      <c r="H120" s="336"/>
      <c r="I120" s="169"/>
    </row>
    <row r="121" spans="2:9" s="25" customFormat="1" ht="15" customHeight="1" x14ac:dyDescent="0.25">
      <c r="B121" s="13"/>
      <c r="C121" s="14"/>
      <c r="D121" s="99" t="s">
        <v>176</v>
      </c>
      <c r="E121" s="190"/>
      <c r="F121" s="190"/>
      <c r="G121" s="190"/>
      <c r="H121" s="333"/>
      <c r="I121" s="169"/>
    </row>
    <row r="122" spans="2:9" s="25" customFormat="1" ht="15" customHeight="1" thickBot="1" x14ac:dyDescent="0.3">
      <c r="B122" s="163"/>
      <c r="C122" s="81"/>
      <c r="D122" s="98"/>
      <c r="E122" s="98"/>
      <c r="F122" s="98"/>
      <c r="G122" s="98"/>
      <c r="H122" s="189"/>
      <c r="I122" s="170"/>
    </row>
    <row r="123" spans="2:9" s="25" customFormat="1" ht="15" customHeight="1" x14ac:dyDescent="0.25">
      <c r="B123" s="4"/>
      <c r="C123" s="14"/>
      <c r="D123" s="99"/>
      <c r="E123" s="99"/>
      <c r="F123" s="99"/>
      <c r="G123" s="99"/>
      <c r="H123" s="99"/>
      <c r="I123" s="170"/>
    </row>
    <row r="124" spans="2:9" s="25" customFormat="1" ht="15" x14ac:dyDescent="0.25">
      <c r="B124" s="4"/>
      <c r="C124" s="4"/>
      <c r="D124" s="5"/>
      <c r="E124" s="3"/>
      <c r="F124" s="7"/>
      <c r="G124" s="7"/>
      <c r="H124" s="65"/>
    </row>
    <row r="125" spans="2:9" s="25" customFormat="1" ht="15" x14ac:dyDescent="0.25">
      <c r="B125" s="4"/>
      <c r="C125" s="4"/>
      <c r="D125" s="5"/>
      <c r="E125" s="3"/>
      <c r="F125" s="7"/>
      <c r="G125" s="7"/>
      <c r="H125" s="65"/>
    </row>
    <row r="126" spans="2:9" s="25" customFormat="1" ht="15" x14ac:dyDescent="0.25">
      <c r="B126" s="4"/>
      <c r="C126" s="4"/>
      <c r="D126" s="5"/>
      <c r="E126" s="3"/>
      <c r="F126" s="7"/>
      <c r="G126" s="7"/>
      <c r="H126" s="65"/>
    </row>
    <row r="127" spans="2:9" s="25" customFormat="1" ht="15" x14ac:dyDescent="0.25">
      <c r="B127" s="4"/>
      <c r="C127" s="4"/>
      <c r="D127" s="5"/>
      <c r="E127" s="3"/>
      <c r="F127" s="7"/>
      <c r="G127" s="7"/>
      <c r="H127" s="65"/>
    </row>
    <row r="128" spans="2:9" s="25" customFormat="1" ht="15" x14ac:dyDescent="0.25">
      <c r="B128" s="4"/>
      <c r="C128" s="4"/>
      <c r="D128" s="5"/>
      <c r="E128" s="3"/>
      <c r="F128" s="7"/>
      <c r="G128" s="7"/>
      <c r="H128" s="65"/>
    </row>
    <row r="129" spans="2:8" s="25" customFormat="1" ht="15" x14ac:dyDescent="0.25">
      <c r="B129" s="4"/>
      <c r="C129" s="4"/>
      <c r="D129" s="5"/>
      <c r="E129" s="3"/>
      <c r="F129" s="7"/>
      <c r="G129" s="7"/>
      <c r="H129" s="65"/>
    </row>
    <row r="130" spans="2:8" s="25" customFormat="1" ht="15" x14ac:dyDescent="0.25">
      <c r="B130" s="4"/>
      <c r="C130" s="4"/>
      <c r="D130" s="5"/>
      <c r="E130" s="3"/>
      <c r="F130" s="7"/>
      <c r="G130" s="7"/>
      <c r="H130" s="65"/>
    </row>
    <row r="131" spans="2:8" s="25" customFormat="1" ht="15" x14ac:dyDescent="0.25">
      <c r="B131" s="4"/>
      <c r="C131" s="4"/>
      <c r="D131" s="5"/>
      <c r="E131" s="3"/>
      <c r="F131" s="7"/>
      <c r="G131" s="7"/>
      <c r="H131" s="65"/>
    </row>
    <row r="132" spans="2:8" s="25" customFormat="1" ht="15" x14ac:dyDescent="0.25">
      <c r="B132" s="4"/>
      <c r="C132" s="4"/>
      <c r="D132" s="5"/>
      <c r="E132" s="3"/>
      <c r="F132" s="7"/>
      <c r="G132" s="7"/>
      <c r="H132" s="65"/>
    </row>
    <row r="133" spans="2:8" s="25" customFormat="1" ht="15" x14ac:dyDescent="0.25">
      <c r="B133" s="4"/>
      <c r="C133" s="4"/>
      <c r="D133" s="5"/>
      <c r="E133" s="3"/>
      <c r="F133" s="7"/>
      <c r="G133" s="7"/>
      <c r="H133" s="65"/>
    </row>
    <row r="134" spans="2:8" s="25" customFormat="1" ht="15" x14ac:dyDescent="0.25">
      <c r="B134" s="4"/>
      <c r="C134" s="4"/>
      <c r="D134" s="5"/>
      <c r="E134" s="3"/>
      <c r="F134" s="7"/>
      <c r="G134" s="7"/>
      <c r="H134" s="65"/>
    </row>
    <row r="135" spans="2:8" s="25" customFormat="1" ht="15" x14ac:dyDescent="0.25">
      <c r="B135" s="4"/>
      <c r="C135" s="4"/>
      <c r="D135" s="5"/>
      <c r="E135" s="3"/>
      <c r="F135" s="7"/>
      <c r="G135" s="7"/>
      <c r="H135" s="65"/>
    </row>
    <row r="136" spans="2:8" s="25" customFormat="1" ht="15" x14ac:dyDescent="0.25">
      <c r="B136" s="4"/>
      <c r="C136" s="4"/>
      <c r="D136" s="5"/>
      <c r="E136" s="3"/>
      <c r="F136" s="7"/>
      <c r="G136" s="7"/>
      <c r="H136" s="65"/>
    </row>
    <row r="137" spans="2:8" s="25" customFormat="1" ht="15" x14ac:dyDescent="0.25">
      <c r="B137" s="4"/>
      <c r="C137" s="4"/>
      <c r="D137" s="5"/>
      <c r="E137" s="3"/>
      <c r="F137" s="7"/>
      <c r="G137" s="7"/>
      <c r="H137" s="65"/>
    </row>
    <row r="138" spans="2:8" s="25" customFormat="1" ht="15" x14ac:dyDescent="0.25">
      <c r="B138" s="4"/>
      <c r="C138" s="4"/>
      <c r="D138" s="5"/>
      <c r="E138" s="3"/>
      <c r="F138" s="7"/>
      <c r="G138" s="7"/>
      <c r="H138" s="65"/>
    </row>
    <row r="139" spans="2:8" s="25" customFormat="1" ht="15" x14ac:dyDescent="0.25">
      <c r="B139" s="4"/>
      <c r="C139" s="4"/>
      <c r="D139" s="5"/>
      <c r="E139" s="3"/>
      <c r="F139" s="7"/>
      <c r="G139" s="7"/>
      <c r="H139" s="65"/>
    </row>
    <row r="140" spans="2:8" s="25" customFormat="1" ht="15" x14ac:dyDescent="0.25">
      <c r="B140" s="4"/>
      <c r="C140" s="4"/>
      <c r="D140" s="5"/>
      <c r="E140" s="3"/>
      <c r="F140" s="7"/>
      <c r="G140" s="7"/>
      <c r="H140" s="65"/>
    </row>
    <row r="141" spans="2:8" s="25" customFormat="1" ht="15" x14ac:dyDescent="0.25">
      <c r="B141" s="4"/>
      <c r="C141" s="4"/>
      <c r="D141" s="5"/>
      <c r="E141" s="3"/>
      <c r="F141" s="7"/>
      <c r="G141" s="7"/>
      <c r="H141" s="65"/>
    </row>
    <row r="142" spans="2:8" s="25" customFormat="1" ht="15" x14ac:dyDescent="0.25">
      <c r="B142" s="4"/>
      <c r="C142" s="4"/>
      <c r="D142" s="5"/>
      <c r="E142" s="3"/>
      <c r="F142" s="7"/>
      <c r="G142" s="7"/>
      <c r="H142" s="65"/>
    </row>
    <row r="143" spans="2:8" s="25" customFormat="1" ht="15" x14ac:dyDescent="0.25">
      <c r="B143" s="4"/>
      <c r="C143" s="4"/>
      <c r="D143" s="5"/>
      <c r="E143" s="3"/>
      <c r="F143" s="7"/>
      <c r="G143" s="7"/>
      <c r="H143" s="65"/>
    </row>
    <row r="144" spans="2:8" s="25" customFormat="1" ht="15" x14ac:dyDescent="0.25">
      <c r="B144" s="4"/>
      <c r="C144" s="4"/>
      <c r="D144" s="5"/>
      <c r="E144" s="3"/>
      <c r="F144" s="7"/>
      <c r="G144" s="7"/>
      <c r="H144" s="65"/>
    </row>
    <row r="145" spans="2:8" s="25" customFormat="1" ht="15" x14ac:dyDescent="0.25">
      <c r="B145" s="4"/>
      <c r="C145" s="4"/>
      <c r="D145" s="5"/>
      <c r="E145" s="3"/>
      <c r="F145" s="7"/>
      <c r="G145" s="7"/>
      <c r="H145" s="65"/>
    </row>
    <row r="146" spans="2:8" s="25" customFormat="1" ht="15" x14ac:dyDescent="0.25">
      <c r="B146" s="4"/>
      <c r="C146" s="4"/>
      <c r="D146" s="5"/>
      <c r="E146" s="3"/>
      <c r="F146" s="7"/>
      <c r="G146" s="7"/>
      <c r="H146" s="65"/>
    </row>
    <row r="147" spans="2:8" s="25" customFormat="1" ht="15" x14ac:dyDescent="0.25">
      <c r="B147" s="4"/>
      <c r="C147" s="4"/>
      <c r="D147" s="5"/>
      <c r="E147" s="3"/>
      <c r="F147" s="7"/>
      <c r="G147" s="7"/>
      <c r="H147" s="65"/>
    </row>
    <row r="148" spans="2:8" s="25" customFormat="1" ht="15" x14ac:dyDescent="0.25">
      <c r="B148" s="4"/>
      <c r="C148" s="4"/>
      <c r="D148" s="5"/>
      <c r="E148" s="3"/>
      <c r="F148" s="7"/>
      <c r="G148" s="7"/>
      <c r="H148" s="65"/>
    </row>
    <row r="149" spans="2:8" s="25" customFormat="1" ht="15" x14ac:dyDescent="0.25">
      <c r="B149" s="4"/>
      <c r="C149" s="4"/>
      <c r="D149" s="5"/>
      <c r="E149" s="3"/>
      <c r="F149" s="7"/>
      <c r="G149" s="7"/>
      <c r="H149" s="65"/>
    </row>
    <row r="150" spans="2:8" s="25" customFormat="1" ht="15" x14ac:dyDescent="0.25">
      <c r="B150" s="4"/>
      <c r="C150" s="4"/>
      <c r="D150" s="5"/>
      <c r="E150" s="3"/>
      <c r="F150" s="7"/>
      <c r="G150" s="7"/>
      <c r="H150" s="65"/>
    </row>
    <row r="151" spans="2:8" s="25" customFormat="1" ht="15" x14ac:dyDescent="0.25">
      <c r="B151" s="4"/>
      <c r="C151" s="4"/>
      <c r="D151" s="5"/>
      <c r="E151" s="3"/>
      <c r="F151" s="7"/>
      <c r="G151" s="7"/>
      <c r="H151" s="65"/>
    </row>
    <row r="152" spans="2:8" s="25" customFormat="1" ht="15" x14ac:dyDescent="0.25">
      <c r="B152" s="4"/>
      <c r="C152" s="4"/>
      <c r="D152" s="5"/>
      <c r="E152" s="3"/>
      <c r="F152" s="7"/>
      <c r="G152" s="7"/>
      <c r="H152" s="65"/>
    </row>
    <row r="153" spans="2:8" s="25" customFormat="1" ht="15" x14ac:dyDescent="0.25">
      <c r="B153" s="4"/>
      <c r="C153" s="4"/>
      <c r="D153" s="5"/>
      <c r="E153" s="3"/>
      <c r="F153" s="7"/>
      <c r="G153" s="7"/>
      <c r="H153" s="65"/>
    </row>
    <row r="154" spans="2:8" s="25" customFormat="1" ht="15" x14ac:dyDescent="0.25">
      <c r="B154" s="4"/>
      <c r="C154" s="4"/>
      <c r="D154" s="5"/>
      <c r="E154" s="3"/>
      <c r="F154" s="7"/>
      <c r="G154" s="7"/>
      <c r="H154" s="65"/>
    </row>
    <row r="155" spans="2:8" s="25" customFormat="1" ht="15" x14ac:dyDescent="0.25">
      <c r="B155" s="4"/>
      <c r="C155" s="4"/>
      <c r="D155" s="5"/>
      <c r="E155" s="3"/>
      <c r="F155" s="7"/>
      <c r="G155" s="7"/>
      <c r="H155" s="65"/>
    </row>
    <row r="156" spans="2:8" s="25" customFormat="1" ht="15" x14ac:dyDescent="0.25">
      <c r="B156" s="4"/>
      <c r="C156" s="4"/>
      <c r="D156" s="5"/>
      <c r="E156" s="3"/>
      <c r="F156" s="7"/>
      <c r="G156" s="7"/>
      <c r="H156" s="65"/>
    </row>
    <row r="157" spans="2:8" s="25" customFormat="1" ht="15" x14ac:dyDescent="0.25">
      <c r="B157" s="4"/>
      <c r="C157" s="4"/>
      <c r="D157" s="5"/>
      <c r="E157" s="3"/>
      <c r="F157" s="7"/>
      <c r="G157" s="7"/>
      <c r="H157" s="65"/>
    </row>
    <row r="158" spans="2:8" s="25" customFormat="1" ht="15" x14ac:dyDescent="0.25">
      <c r="B158" s="4"/>
      <c r="C158" s="4"/>
      <c r="D158" s="5"/>
      <c r="E158" s="3"/>
      <c r="F158" s="7"/>
      <c r="G158" s="7"/>
      <c r="H158" s="65"/>
    </row>
    <row r="159" spans="2:8" s="25" customFormat="1" ht="15" x14ac:dyDescent="0.25">
      <c r="B159" s="4"/>
      <c r="C159" s="4"/>
      <c r="D159" s="5"/>
      <c r="E159" s="3"/>
      <c r="F159" s="7"/>
      <c r="G159" s="7"/>
      <c r="H159" s="65"/>
    </row>
    <row r="160" spans="2:8" s="25" customFormat="1" ht="15" x14ac:dyDescent="0.25">
      <c r="B160" s="4"/>
      <c r="C160" s="4"/>
      <c r="D160" s="5"/>
      <c r="E160" s="3"/>
      <c r="F160" s="7"/>
      <c r="G160" s="7"/>
      <c r="H160" s="65"/>
    </row>
    <row r="161" spans="1:8" s="25" customFormat="1" ht="15" x14ac:dyDescent="0.25">
      <c r="B161" s="4"/>
      <c r="C161" s="4"/>
      <c r="D161" s="5"/>
      <c r="E161" s="3"/>
      <c r="F161" s="7"/>
      <c r="G161" s="7"/>
      <c r="H161" s="65"/>
    </row>
    <row r="162" spans="1:8" s="25" customFormat="1" ht="15" x14ac:dyDescent="0.25">
      <c r="B162" s="4"/>
      <c r="C162" s="4"/>
      <c r="D162" s="5"/>
      <c r="E162" s="3"/>
      <c r="F162" s="7"/>
      <c r="G162" s="7"/>
      <c r="H162" s="65"/>
    </row>
    <row r="163" spans="1:8" s="25" customFormat="1" ht="15" x14ac:dyDescent="0.25">
      <c r="B163" s="4"/>
      <c r="C163" s="4"/>
      <c r="D163" s="5"/>
      <c r="E163" s="3"/>
      <c r="F163" s="7"/>
      <c r="G163" s="7"/>
      <c r="H163" s="65"/>
    </row>
    <row r="164" spans="1:8" s="25" customFormat="1" ht="15" x14ac:dyDescent="0.25">
      <c r="B164" s="4"/>
      <c r="C164" s="4"/>
      <c r="D164" s="5"/>
      <c r="E164" s="3"/>
      <c r="F164" s="7"/>
      <c r="G164" s="7"/>
      <c r="H164" s="65"/>
    </row>
    <row r="165" spans="1:8" s="25" customFormat="1" ht="15" x14ac:dyDescent="0.25">
      <c r="B165" s="4"/>
      <c r="C165" s="4"/>
      <c r="D165" s="5"/>
      <c r="E165" s="3"/>
      <c r="F165" s="7"/>
      <c r="G165" s="7"/>
      <c r="H165" s="65"/>
    </row>
    <row r="166" spans="1:8" s="25" customFormat="1" ht="15" x14ac:dyDescent="0.25">
      <c r="B166" s="4"/>
      <c r="C166" s="4"/>
      <c r="D166" s="5"/>
      <c r="E166" s="3"/>
      <c r="F166" s="7"/>
      <c r="G166" s="7"/>
      <c r="H166" s="65"/>
    </row>
    <row r="167" spans="1:8" s="25" customFormat="1" ht="15" x14ac:dyDescent="0.25">
      <c r="B167" s="4"/>
      <c r="C167" s="4"/>
      <c r="D167" s="5"/>
      <c r="E167" s="3"/>
      <c r="F167" s="7"/>
      <c r="G167" s="7"/>
      <c r="H167" s="65"/>
    </row>
    <row r="168" spans="1:8" s="25" customFormat="1" ht="15" x14ac:dyDescent="0.25">
      <c r="B168" s="4"/>
      <c r="C168" s="4"/>
      <c r="D168" s="5"/>
      <c r="E168" s="3"/>
      <c r="F168" s="7"/>
      <c r="G168" s="7"/>
      <c r="H168" s="65"/>
    </row>
    <row r="169" spans="1:8" s="25" customFormat="1" ht="15" x14ac:dyDescent="0.25">
      <c r="B169" s="4"/>
      <c r="C169" s="4"/>
      <c r="D169" s="5"/>
      <c r="E169" s="3"/>
      <c r="F169" s="7"/>
      <c r="G169" s="7"/>
      <c r="H169" s="65"/>
    </row>
    <row r="170" spans="1:8" s="25" customFormat="1" ht="15" x14ac:dyDescent="0.25">
      <c r="B170" s="4"/>
      <c r="C170" s="4"/>
      <c r="D170" s="5"/>
      <c r="E170" s="3"/>
      <c r="F170" s="7"/>
      <c r="G170" s="7"/>
      <c r="H170" s="65"/>
    </row>
    <row r="171" spans="1:8" ht="15" x14ac:dyDescent="0.25">
      <c r="A171" s="25"/>
    </row>
    <row r="172" spans="1:8" ht="15" x14ac:dyDescent="0.25">
      <c r="A172" s="25"/>
    </row>
    <row r="173" spans="1:8" ht="15" x14ac:dyDescent="0.25">
      <c r="A173" s="25"/>
    </row>
  </sheetData>
  <sheetProtection algorithmName="SHA-512" hashValue="PqPqjAQ3pspXdYJSLn125EzjDclQxP79jOadubLZwAmGXAu51ing0mzKcmkguRJinP4H09YId8g9CtOf6hYyrw==" saltValue="kq/O3avrjx6KOan2UPrFDA==" spinCount="100000" sheet="1" formatCells="0" formatColumns="0" formatRows="0" insertColumns="0" insertRows="0" insertHyperlinks="0" deleteColumns="0" deleteRows="0" sort="0" autoFilter="0" pivotTables="0"/>
  <mergeCells count="48">
    <mergeCell ref="B95:C95"/>
    <mergeCell ref="B113:C113"/>
    <mergeCell ref="F114:G114"/>
    <mergeCell ref="D46:G46"/>
    <mergeCell ref="D57:G57"/>
    <mergeCell ref="F82:G82"/>
    <mergeCell ref="F83:G83"/>
    <mergeCell ref="F14:G14"/>
    <mergeCell ref="F15:G15"/>
    <mergeCell ref="I5:J5"/>
    <mergeCell ref="D93:G93"/>
    <mergeCell ref="F71:G71"/>
    <mergeCell ref="F75:G75"/>
    <mergeCell ref="F72:G72"/>
    <mergeCell ref="F76:G76"/>
    <mergeCell ref="F79:G79"/>
    <mergeCell ref="F77:G77"/>
    <mergeCell ref="D85:G85"/>
    <mergeCell ref="F70:G70"/>
    <mergeCell ref="D69:G69"/>
    <mergeCell ref="D26:G26"/>
    <mergeCell ref="D33:G33"/>
    <mergeCell ref="B115:C115"/>
    <mergeCell ref="D111:G111"/>
    <mergeCell ref="F115:G115"/>
    <mergeCell ref="B97:C97"/>
    <mergeCell ref="F104:G104"/>
    <mergeCell ref="F105:G105"/>
    <mergeCell ref="B4:H4"/>
    <mergeCell ref="B5:H5"/>
    <mergeCell ref="B9:H9"/>
    <mergeCell ref="B10:H10"/>
    <mergeCell ref="F11:H11"/>
    <mergeCell ref="D7:F7"/>
    <mergeCell ref="D8:F8"/>
    <mergeCell ref="E119:H119"/>
    <mergeCell ref="E120:H120"/>
    <mergeCell ref="F22:G22"/>
    <mergeCell ref="D107:G107"/>
    <mergeCell ref="D89:G89"/>
    <mergeCell ref="F73:G73"/>
    <mergeCell ref="F78:G78"/>
    <mergeCell ref="F74:G74"/>
    <mergeCell ref="D103:G103"/>
    <mergeCell ref="D45:G45"/>
    <mergeCell ref="F80:G80"/>
    <mergeCell ref="F81:G81"/>
    <mergeCell ref="E118:H118"/>
  </mergeCells>
  <phoneticPr fontId="5" type="noConversion"/>
  <conditionalFormatting sqref="D15">
    <cfRule type="containsText" dxfId="7" priority="1021" operator="containsText" text="m2">
      <formula>NOT(ISERROR(SEARCH("m2",D15)))</formula>
    </cfRule>
  </conditionalFormatting>
  <conditionalFormatting sqref="D17">
    <cfRule type="containsText" dxfId="6" priority="1015" operator="containsText" text="m2">
      <formula>NOT(ISERROR(SEARCH("m2",D17)))</formula>
    </cfRule>
  </conditionalFormatting>
  <conditionalFormatting sqref="D19 D104 C105 D108:D109">
    <cfRule type="containsText" dxfId="5" priority="1045" operator="containsText" text="m2">
      <formula>NOT(ISERROR(SEARCH("m2",C19)))</formula>
    </cfRule>
  </conditionalFormatting>
  <conditionalFormatting sqref="D24">
    <cfRule type="containsText" dxfId="4" priority="10" operator="containsText" text="m2">
      <formula>NOT(ISERROR(SEARCH("m2",D24)))</formula>
    </cfRule>
  </conditionalFormatting>
  <conditionalFormatting sqref="D28">
    <cfRule type="containsText" dxfId="3" priority="3" operator="containsText" text="m2">
      <formula>NOT(ISERROR(SEARCH("m2",D28)))</formula>
    </cfRule>
  </conditionalFormatting>
  <conditionalFormatting sqref="D30">
    <cfRule type="containsText" dxfId="2" priority="2" operator="containsText" text="m2">
      <formula>NOT(ISERROR(SEARCH("m2",D30)))</formula>
    </cfRule>
  </conditionalFormatting>
  <conditionalFormatting sqref="D71 D75 D77 D79 D81 D83">
    <cfRule type="containsText" dxfId="1" priority="927" operator="containsText" text="m2">
      <formula>NOT(ISERROR(SEARCH("m2",D71)))</formula>
    </cfRule>
  </conditionalFormatting>
  <conditionalFormatting sqref="D73">
    <cfRule type="containsText" dxfId="0" priority="1" operator="containsText" text="m2">
      <formula>NOT(ISERROR(SEARCH("m2",D73)))</formula>
    </cfRule>
  </conditionalFormatting>
  <pageMargins left="0.51181102362204722" right="0.51181102362204722" top="0.78740157480314965" bottom="0.78740157480314965" header="0.31496062992125984" footer="0.31496062992125984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0"/>
  <sheetViews>
    <sheetView showGridLines="0" tabSelected="1" view="pageBreakPreview" topLeftCell="E79" zoomScale="88" zoomScaleNormal="70" zoomScaleSheetLayoutView="88" zoomScalePageLayoutView="60" workbookViewId="0">
      <selection activeCell="I99" sqref="I99"/>
    </sheetView>
  </sheetViews>
  <sheetFormatPr defaultColWidth="9.140625" defaultRowHeight="14.25" x14ac:dyDescent="0.25"/>
  <cols>
    <col min="1" max="1" width="9.140625" style="8" customWidth="1"/>
    <col min="2" max="2" width="6.7109375" style="4" bestFit="1" customWidth="1"/>
    <col min="3" max="3" width="11.140625" style="4" customWidth="1"/>
    <col min="4" max="4" width="20.7109375" style="14" bestFit="1" customWidth="1"/>
    <col min="5" max="5" width="105.42578125" style="5" customWidth="1"/>
    <col min="6" max="6" width="7.28515625" style="3" bestFit="1" customWidth="1"/>
    <col min="7" max="7" width="16.140625" style="3" bestFit="1" customWidth="1"/>
    <col min="8" max="8" width="14.140625" style="17" bestFit="1" customWidth="1"/>
    <col min="9" max="9" width="22.28515625" style="17" bestFit="1" customWidth="1"/>
    <col min="10" max="10" width="20.140625" style="6" bestFit="1" customWidth="1"/>
    <col min="11" max="11" width="16.28515625" style="4" customWidth="1"/>
    <col min="12" max="12" width="7.85546875" style="8" bestFit="1" customWidth="1"/>
    <col min="13" max="16384" width="9.140625" style="8"/>
  </cols>
  <sheetData>
    <row r="1" spans="2:11" ht="17.25" customHeight="1" x14ac:dyDescent="0.25">
      <c r="B1" s="284"/>
      <c r="C1" s="285"/>
      <c r="D1" s="285"/>
      <c r="E1" s="392" t="s">
        <v>0</v>
      </c>
      <c r="F1" s="392"/>
      <c r="G1" s="392"/>
      <c r="H1" s="392"/>
      <c r="I1" s="392"/>
      <c r="J1" s="393"/>
      <c r="K1" s="380"/>
    </row>
    <row r="2" spans="2:11" ht="15.6" customHeight="1" x14ac:dyDescent="0.25">
      <c r="B2" s="13"/>
      <c r="C2" s="167"/>
      <c r="D2" s="167"/>
      <c r="E2" s="348" t="s">
        <v>177</v>
      </c>
      <c r="F2" s="348"/>
      <c r="G2" s="348"/>
      <c r="H2" s="348"/>
      <c r="I2" s="348"/>
      <c r="J2" s="349"/>
      <c r="K2" s="380"/>
    </row>
    <row r="3" spans="2:11" ht="15.6" customHeight="1" x14ac:dyDescent="0.25">
      <c r="B3" s="286"/>
      <c r="C3" s="165"/>
      <c r="E3" s="348" t="s">
        <v>178</v>
      </c>
      <c r="F3" s="348"/>
      <c r="G3" s="348"/>
      <c r="H3" s="348"/>
      <c r="I3" s="348"/>
      <c r="J3" s="349"/>
      <c r="K3" s="380"/>
    </row>
    <row r="4" spans="2:11" ht="15.6" customHeight="1" x14ac:dyDescent="0.25">
      <c r="B4" s="13"/>
      <c r="C4" s="167"/>
      <c r="D4" s="167"/>
      <c r="E4" s="348" t="s">
        <v>209</v>
      </c>
      <c r="F4" s="348"/>
      <c r="G4" s="348"/>
      <c r="H4" s="348"/>
      <c r="I4" s="348"/>
      <c r="J4" s="349"/>
      <c r="K4" s="380"/>
    </row>
    <row r="5" spans="2:11" ht="13.9" customHeight="1" x14ac:dyDescent="0.25">
      <c r="B5" s="13"/>
      <c r="C5" s="167"/>
      <c r="D5" s="167"/>
      <c r="E5" s="348" t="s">
        <v>210</v>
      </c>
      <c r="F5" s="348"/>
      <c r="G5" s="348"/>
      <c r="H5" s="348"/>
      <c r="I5" s="348"/>
      <c r="J5" s="349"/>
      <c r="K5" s="380"/>
    </row>
    <row r="6" spans="2:11" ht="13.9" customHeight="1" x14ac:dyDescent="0.25">
      <c r="B6" s="264"/>
      <c r="C6" s="164"/>
      <c r="E6" s="348"/>
      <c r="F6" s="348"/>
      <c r="G6" s="348"/>
      <c r="H6" s="348"/>
      <c r="I6" s="348"/>
      <c r="J6" s="349"/>
    </row>
    <row r="7" spans="2:11" ht="18.75" thickBot="1" x14ac:dyDescent="0.3">
      <c r="B7" s="163"/>
      <c r="C7" s="168"/>
      <c r="D7" s="168"/>
      <c r="E7" s="394" t="s">
        <v>179</v>
      </c>
      <c r="F7" s="394"/>
      <c r="G7" s="394"/>
      <c r="H7" s="394"/>
      <c r="I7" s="394"/>
      <c r="J7" s="395"/>
    </row>
    <row r="8" spans="2:11" ht="16.5" thickBot="1" x14ac:dyDescent="0.3">
      <c r="B8" s="134" t="s">
        <v>5</v>
      </c>
      <c r="C8" s="135" t="s">
        <v>180</v>
      </c>
      <c r="D8" s="134" t="s">
        <v>181</v>
      </c>
      <c r="E8" s="136" t="s">
        <v>182</v>
      </c>
      <c r="F8" s="137" t="s">
        <v>7</v>
      </c>
      <c r="G8" s="137" t="s">
        <v>183</v>
      </c>
      <c r="H8" s="138" t="s">
        <v>184</v>
      </c>
      <c r="I8" s="139" t="s">
        <v>185</v>
      </c>
      <c r="J8" s="140" t="s">
        <v>11</v>
      </c>
    </row>
    <row r="9" spans="2:11" s="25" customFormat="1" ht="15" x14ac:dyDescent="0.25">
      <c r="B9" s="381" t="s">
        <v>8</v>
      </c>
      <c r="C9" s="382"/>
      <c r="D9" s="382"/>
      <c r="E9" s="382"/>
      <c r="F9" s="382"/>
      <c r="G9" s="382"/>
      <c r="H9" s="382"/>
      <c r="I9" s="383"/>
      <c r="J9" s="20">
        <f>SUM(J11:J13)</f>
        <v>0</v>
      </c>
      <c r="K9" s="187" t="e">
        <f>(J9*100%)/$J$86</f>
        <v>#DIV/0!</v>
      </c>
    </row>
    <row r="10" spans="2:11" ht="15" x14ac:dyDescent="0.25">
      <c r="B10" s="9">
        <v>1</v>
      </c>
      <c r="C10" s="387" t="s">
        <v>10</v>
      </c>
      <c r="D10" s="388"/>
      <c r="E10" s="388"/>
      <c r="F10" s="388"/>
      <c r="G10" s="388"/>
      <c r="H10" s="388"/>
      <c r="I10" s="388"/>
      <c r="J10" s="389"/>
      <c r="K10" s="187"/>
    </row>
    <row r="11" spans="2:11" ht="15" x14ac:dyDescent="0.25">
      <c r="B11" s="90" t="s">
        <v>12</v>
      </c>
      <c r="C11" s="85" t="s">
        <v>186</v>
      </c>
      <c r="D11" s="171" t="str">
        <f>VLOOKUP(B11,'MEMÓRIA DE CÁLCULO'!$B:$H,2,)</f>
        <v xml:space="preserve">20130 </v>
      </c>
      <c r="E11" s="129" t="str">
        <f>VLOOKUP(B11,'MEMÓRIA DE CÁLCULO'!$B:$H,3,)</f>
        <v>DEMOLIÇÃO MANUAL DE ALAMBRADO - POSTE DE CONCRETO/TELA/VIGA COM
TRANSPORTE ATÉ CAÇAMBA E CARGA</v>
      </c>
      <c r="F11" s="87" t="s">
        <v>15</v>
      </c>
      <c r="G11" s="106">
        <f>VLOOKUP(B11,'MEMÓRIA DE CÁLCULO'!$B:$H,7,)</f>
        <v>229.2</v>
      </c>
      <c r="H11" s="41"/>
      <c r="I11" s="107"/>
      <c r="J11" s="108">
        <f>(I11+H11)*G11</f>
        <v>0</v>
      </c>
      <c r="K11" s="187" t="e">
        <f>(J11*100%)/$J$86</f>
        <v>#DIV/0!</v>
      </c>
    </row>
    <row r="12" spans="2:11" ht="15" x14ac:dyDescent="0.25">
      <c r="B12" s="58" t="s">
        <v>18</v>
      </c>
      <c r="C12" s="39" t="s">
        <v>186</v>
      </c>
      <c r="D12" s="171" t="str">
        <f>VLOOKUP(B12,'MEMÓRIA DE CÁLCULO'!$B:$H,2,)</f>
        <v xml:space="preserve">21301 </v>
      </c>
      <c r="E12" s="129" t="str">
        <f>VLOOKUP(B12,'MEMÓRIA DE CÁLCULO'!$B:$H,3,)</f>
        <v>PLACA DE OBRA PLOTADA EM CHAPA METÁLICA 26 , AFIXADA EM CAVALETES DE MADEIRA DE LEI (VIGOTAS 6X12CM) - PADRÃO GOINFRA</v>
      </c>
      <c r="F12" s="40" t="s">
        <v>21</v>
      </c>
      <c r="G12" s="43">
        <f>VLOOKUP(B12,'MEMÓRIA DE CÁLCULO'!$B:$H,7,)</f>
        <v>3</v>
      </c>
      <c r="H12" s="41"/>
      <c r="I12" s="41"/>
      <c r="J12" s="55">
        <f>(I12+H12)*G12</f>
        <v>0</v>
      </c>
      <c r="K12" s="187" t="e">
        <f>(J12*100%)/$J$86</f>
        <v>#DIV/0!</v>
      </c>
    </row>
    <row r="13" spans="2:11" ht="15" x14ac:dyDescent="0.25">
      <c r="B13" s="58" t="s">
        <v>24</v>
      </c>
      <c r="C13" s="39" t="s">
        <v>186</v>
      </c>
      <c r="D13" s="172" t="str">
        <f>VLOOKUP(B13,'MEMÓRIA DE CÁLCULO'!$B:$H,2,)</f>
        <v>20190</v>
      </c>
      <c r="E13" s="129" t="str">
        <f>VLOOKUP(B13,'MEMÓRIA DE CÁLCULO'!$B:$H,3,)</f>
        <v>LIMPEZA MECÂNICA DE TERRENO</v>
      </c>
      <c r="F13" s="40" t="s">
        <v>21</v>
      </c>
      <c r="G13" s="43">
        <f>VLOOKUP(B13,'MEMÓRIA DE CÁLCULO'!$B:$H,7,)</f>
        <v>3217.6800000000003</v>
      </c>
      <c r="H13" s="41"/>
      <c r="I13" s="41"/>
      <c r="J13" s="55">
        <f>(I13+H13)*G13</f>
        <v>0</v>
      </c>
      <c r="K13" s="187" t="e">
        <f>(J13*100%)/$J$86</f>
        <v>#DIV/0!</v>
      </c>
    </row>
    <row r="14" spans="2:11" ht="15" x14ac:dyDescent="0.25">
      <c r="B14" s="13"/>
      <c r="D14" s="287"/>
      <c r="E14" s="288"/>
      <c r="G14" s="289"/>
      <c r="H14" s="78"/>
      <c r="I14" s="78"/>
      <c r="J14" s="79"/>
      <c r="K14" s="187"/>
    </row>
    <row r="15" spans="2:11" ht="15" x14ac:dyDescent="0.25">
      <c r="B15" s="381" t="s">
        <v>187</v>
      </c>
      <c r="C15" s="382"/>
      <c r="D15" s="382"/>
      <c r="E15" s="382"/>
      <c r="F15" s="382"/>
      <c r="G15" s="382"/>
      <c r="H15" s="382"/>
      <c r="I15" s="383"/>
      <c r="J15" s="20">
        <f>SUM(J17)</f>
        <v>0</v>
      </c>
      <c r="K15" s="187" t="e">
        <f>(J15*100%)/$J$86</f>
        <v>#DIV/0!</v>
      </c>
    </row>
    <row r="16" spans="2:11" ht="15" x14ac:dyDescent="0.25">
      <c r="B16" s="279">
        <v>2</v>
      </c>
      <c r="C16" s="390" t="s">
        <v>30</v>
      </c>
      <c r="D16" s="390"/>
      <c r="E16" s="390"/>
      <c r="F16" s="390"/>
      <c r="G16" s="390"/>
      <c r="H16" s="390"/>
      <c r="I16" s="390"/>
      <c r="J16" s="391"/>
      <c r="K16" s="187"/>
    </row>
    <row r="17" spans="2:11" ht="15" x14ac:dyDescent="0.25">
      <c r="B17" s="90" t="s">
        <v>31</v>
      </c>
      <c r="C17" s="85" t="s">
        <v>186</v>
      </c>
      <c r="D17" s="85">
        <f>VLOOKUP($B$17,'MEMÓRIA DE CÁLCULO'!$B:$H,2,)</f>
        <v>30104</v>
      </c>
      <c r="E17" s="109" t="str">
        <f>VLOOKUP($B$17,'MEMÓRIA DE CÁLCULO'!$B:$H,3,)</f>
        <v xml:space="preserve">TRANSPORTE DE ENTULHO CAÇAMBA ESTACIONÁRIA SEM CARGA </v>
      </c>
      <c r="F17" s="87" t="s">
        <v>33</v>
      </c>
      <c r="G17" s="106">
        <f>'MEMÓRIA DE CÁLCULO'!H24</f>
        <v>59.592000000000006</v>
      </c>
      <c r="H17" s="110"/>
      <c r="I17" s="110"/>
      <c r="J17" s="111">
        <f>(I17+H17)*G17</f>
        <v>0</v>
      </c>
      <c r="K17" s="187" t="e">
        <f>(J17*100%)/$J$86</f>
        <v>#DIV/0!</v>
      </c>
    </row>
    <row r="18" spans="2:11" ht="15" x14ac:dyDescent="0.25">
      <c r="B18" s="384"/>
      <c r="C18" s="385"/>
      <c r="D18" s="385"/>
      <c r="E18" s="385"/>
      <c r="F18" s="385"/>
      <c r="G18" s="385"/>
      <c r="H18" s="385"/>
      <c r="I18" s="385"/>
      <c r="J18" s="386"/>
      <c r="K18" s="187"/>
    </row>
    <row r="19" spans="2:11" ht="15" x14ac:dyDescent="0.25">
      <c r="B19" s="381" t="s">
        <v>188</v>
      </c>
      <c r="C19" s="382"/>
      <c r="D19" s="382"/>
      <c r="E19" s="382"/>
      <c r="F19" s="382"/>
      <c r="G19" s="382"/>
      <c r="H19" s="382"/>
      <c r="I19" s="383"/>
      <c r="J19" s="20">
        <f>SUM(J21:J22)</f>
        <v>0</v>
      </c>
      <c r="K19" s="187" t="e">
        <f>(J19*100%)/$J$86</f>
        <v>#DIV/0!</v>
      </c>
    </row>
    <row r="20" spans="2:11" ht="15" x14ac:dyDescent="0.25">
      <c r="B20" s="9">
        <v>3</v>
      </c>
      <c r="C20" s="390" t="s">
        <v>40</v>
      </c>
      <c r="D20" s="390"/>
      <c r="E20" s="390"/>
      <c r="F20" s="390"/>
      <c r="G20" s="390"/>
      <c r="H20" s="390"/>
      <c r="I20" s="390"/>
      <c r="J20" s="391"/>
      <c r="K20" s="187"/>
    </row>
    <row r="21" spans="2:11" ht="15" x14ac:dyDescent="0.25">
      <c r="B21" s="90" t="s">
        <v>41</v>
      </c>
      <c r="C21" s="85" t="s">
        <v>186</v>
      </c>
      <c r="D21" s="85">
        <f>VLOOKUP(B21,'MEMÓRIA DE CÁLCULO'!B:H,2,)</f>
        <v>40103</v>
      </c>
      <c r="E21" s="86" t="str">
        <f>VLOOKUP(B21,'MEMÓRIA DE CÁLCULO'!B:H,3,)</f>
        <v>ESCAVAÇÃO MANUAL DE VALAS PROF.1 A 2 M</v>
      </c>
      <c r="F21" s="87" t="s">
        <v>33</v>
      </c>
      <c r="G21" s="106">
        <f>VLOOKUP(B21,'MEMÓRIA DE CÁLCULO'!B:H,7,)</f>
        <v>229.2</v>
      </c>
      <c r="H21" s="110"/>
      <c r="I21" s="110"/>
      <c r="J21" s="111">
        <f>(I21+H21)*G21</f>
        <v>0</v>
      </c>
      <c r="K21" s="187" t="e">
        <f>(J21*100%)/$J$86</f>
        <v>#DIV/0!</v>
      </c>
    </row>
    <row r="22" spans="2:11" ht="15" x14ac:dyDescent="0.25">
      <c r="B22" s="58" t="s">
        <v>43</v>
      </c>
      <c r="C22" s="39" t="s">
        <v>186</v>
      </c>
      <c r="D22" s="39" t="str">
        <f>VLOOKUP(B22,'MEMÓRIA DE CÁLCULO'!B:H,2,)</f>
        <v xml:space="preserve">40902 </v>
      </c>
      <c r="E22" s="42" t="str">
        <f>VLOOKUP(B22,'MEMÓRIA DE CÁLCULO'!B:H,3,)</f>
        <v>REATERRO COM APILOAMENTO</v>
      </c>
      <c r="F22" s="40" t="s">
        <v>33</v>
      </c>
      <c r="G22" s="43">
        <f>VLOOKUP(B22,'MEMÓRIA DE CÁLCULO'!B:H,7,)</f>
        <v>68.759999999999991</v>
      </c>
      <c r="H22" s="44"/>
      <c r="I22" s="44"/>
      <c r="J22" s="56">
        <f>(I22+H22)*G22</f>
        <v>0</v>
      </c>
      <c r="K22" s="187" t="e">
        <f>(J22*100%)/$J$86</f>
        <v>#DIV/0!</v>
      </c>
    </row>
    <row r="23" spans="2:11" ht="15" x14ac:dyDescent="0.25">
      <c r="B23" s="384"/>
      <c r="C23" s="385"/>
      <c r="D23" s="385"/>
      <c r="E23" s="385"/>
      <c r="F23" s="385"/>
      <c r="G23" s="385"/>
      <c r="H23" s="385"/>
      <c r="I23" s="385"/>
      <c r="J23" s="386"/>
      <c r="K23" s="187"/>
    </row>
    <row r="24" spans="2:11" ht="15" x14ac:dyDescent="0.25">
      <c r="B24" s="381" t="s">
        <v>189</v>
      </c>
      <c r="C24" s="382"/>
      <c r="D24" s="382"/>
      <c r="E24" s="382"/>
      <c r="F24" s="382"/>
      <c r="G24" s="382"/>
      <c r="H24" s="382"/>
      <c r="I24" s="383"/>
      <c r="J24" s="20">
        <f>SUM(J26:J30)</f>
        <v>0</v>
      </c>
      <c r="K24" s="187" t="e">
        <f>(J24*100%)/$J$86</f>
        <v>#DIV/0!</v>
      </c>
    </row>
    <row r="25" spans="2:11" ht="15" x14ac:dyDescent="0.25">
      <c r="B25" s="9">
        <v>4</v>
      </c>
      <c r="C25" s="388" t="s">
        <v>48</v>
      </c>
      <c r="D25" s="388"/>
      <c r="E25" s="388"/>
      <c r="F25" s="388"/>
      <c r="G25" s="388"/>
      <c r="H25" s="388"/>
      <c r="I25" s="388"/>
      <c r="J25" s="389"/>
      <c r="K25" s="187"/>
    </row>
    <row r="26" spans="2:11" ht="15" x14ac:dyDescent="0.25">
      <c r="B26" s="84" t="s">
        <v>51</v>
      </c>
      <c r="C26" s="85" t="s">
        <v>186</v>
      </c>
      <c r="D26" s="130" t="str">
        <f>VLOOKUP(B26,'MEMÓRIA DE CÁLCULO'!B:H,2,)</f>
        <v xml:space="preserve">50301 </v>
      </c>
      <c r="E26" s="86" t="str">
        <f>VLOOKUP(B26,'MEMÓRIA DE CÁLCULO'!$B:$H,3,)</f>
        <v>ESTACA A TRADO DIAM.25 CM SEM FERRO</v>
      </c>
      <c r="F26" s="87" t="s">
        <v>33</v>
      </c>
      <c r="G26" s="106">
        <f>VLOOKUP(B26,'MEMÓRIA DE CÁLCULO'!$B:$H,7,)</f>
        <v>107.1525</v>
      </c>
      <c r="H26" s="110"/>
      <c r="I26" s="110"/>
      <c r="J26" s="111">
        <f>(I26+H26)*G26</f>
        <v>0</v>
      </c>
      <c r="K26" s="187" t="e">
        <f>(J26*100%)/$J$86</f>
        <v>#DIV/0!</v>
      </c>
    </row>
    <row r="27" spans="2:11" ht="15" x14ac:dyDescent="0.25">
      <c r="B27" s="54" t="s">
        <v>56</v>
      </c>
      <c r="C27" s="39" t="s">
        <v>186</v>
      </c>
      <c r="D27" s="131">
        <f>VLOOKUP(B27,'MEMÓRIA DE CÁLCULO'!B:H,2,)</f>
        <v>51024</v>
      </c>
      <c r="E27" s="42" t="str">
        <f>VLOOKUP(B27,'MEMÓRIA DE CÁLCULO'!$B:$H,3,)</f>
        <v>PREPARO COM BETONEIRA E TRANSPORTE MANUAL DE CONCRETO PARA LASTRO - (O.C.)</v>
      </c>
      <c r="F27" s="40" t="s">
        <v>33</v>
      </c>
      <c r="G27" s="106">
        <f>VLOOKUP(B27,'MEMÓRIA DE CÁLCULO'!$B:$H,7,)</f>
        <v>1.7858750000000003</v>
      </c>
      <c r="H27" s="45"/>
      <c r="I27" s="45"/>
      <c r="J27" s="56">
        <f t="shared" ref="J27:J30" si="0">(I27+H27)*G27</f>
        <v>0</v>
      </c>
      <c r="K27" s="187" t="e">
        <f>(J27*100%)/$J$86</f>
        <v>#DIV/0!</v>
      </c>
    </row>
    <row r="28" spans="2:11" ht="15" x14ac:dyDescent="0.25">
      <c r="B28" s="54" t="s">
        <v>58</v>
      </c>
      <c r="C28" s="39" t="s">
        <v>186</v>
      </c>
      <c r="D28" s="131">
        <f>VLOOKUP(B28,'MEMÓRIA DE CÁLCULO'!B:H,2,)</f>
        <v>52004</v>
      </c>
      <c r="E28" s="42" t="str">
        <f>VLOOKUP(B28,'MEMÓRIA DE CÁLCULO'!$B:$H,3,)</f>
        <v>AÇO CA 50-A - 8,0 MM (5/16") - (OBRAS CIVIS)</v>
      </c>
      <c r="F28" s="40" t="s">
        <v>78</v>
      </c>
      <c r="G28" s="106">
        <f>VLOOKUP(B28,'MEMÓRIA DE CÁLCULO'!$B:$H,7,)</f>
        <v>436.80000000000007</v>
      </c>
      <c r="H28" s="45"/>
      <c r="I28" s="45"/>
      <c r="J28" s="56">
        <f t="shared" si="0"/>
        <v>0</v>
      </c>
      <c r="K28" s="187" t="e">
        <f>(J28*100%)/$J$86</f>
        <v>#DIV/0!</v>
      </c>
    </row>
    <row r="29" spans="2:11" ht="15" x14ac:dyDescent="0.25">
      <c r="B29" s="54" t="s">
        <v>63</v>
      </c>
      <c r="C29" s="39" t="s">
        <v>186</v>
      </c>
      <c r="D29" s="131">
        <f>VLOOKUP(B29,'MEMÓRIA DE CÁLCULO'!B:H,2,)</f>
        <v>52014</v>
      </c>
      <c r="E29" s="42" t="str">
        <f>VLOOKUP(B29,'MEMÓRIA DE CÁLCULO'!$B:$H,3,)</f>
        <v xml:space="preserve">AÇO CA-60 - 5,0 MM - (OBRAS CIVIS) </v>
      </c>
      <c r="F29" s="40" t="s">
        <v>78</v>
      </c>
      <c r="G29" s="106">
        <f>VLOOKUP(B29,'MEMÓRIA DE CÁLCULO'!$B:$H,7,)</f>
        <v>262.08</v>
      </c>
      <c r="H29" s="45"/>
      <c r="I29" s="45"/>
      <c r="J29" s="56">
        <f t="shared" si="0"/>
        <v>0</v>
      </c>
      <c r="K29" s="187" t="e">
        <f>(J29*100%)/$J$86</f>
        <v>#DIV/0!</v>
      </c>
    </row>
    <row r="30" spans="2:11" ht="15" x14ac:dyDescent="0.25">
      <c r="B30" s="54" t="s">
        <v>66</v>
      </c>
      <c r="C30" s="39" t="s">
        <v>186</v>
      </c>
      <c r="D30" s="131">
        <f>VLOOKUP(B30,'MEMÓRIA DE CÁLCULO'!B:H,2,)</f>
        <v>51032</v>
      </c>
      <c r="E30" s="311" t="str">
        <f>VLOOKUP(B30,'MEMÓRIA DE CÁLCULO'!$B:$H,3,)</f>
        <v>CONCRETO USINADO CONVENCIONAL FCK=25 MPA COM TRANSPORTE MANUAL (O.C.) (ESTACAS)</v>
      </c>
      <c r="F30" s="40" t="s">
        <v>33</v>
      </c>
      <c r="G30" s="106">
        <f>VLOOKUP(B30,'MEMÓRIA DE CÁLCULO'!$B:$H,7,)</f>
        <v>17.0625</v>
      </c>
      <c r="H30" s="45"/>
      <c r="I30" s="45"/>
      <c r="J30" s="56">
        <f t="shared" si="0"/>
        <v>0</v>
      </c>
      <c r="K30" s="187" t="e">
        <f>(J30*100%)/$J$86</f>
        <v>#DIV/0!</v>
      </c>
    </row>
    <row r="31" spans="2:11" ht="15" x14ac:dyDescent="0.25">
      <c r="B31" s="95"/>
      <c r="C31" s="96"/>
      <c r="D31" s="290"/>
      <c r="E31" s="67"/>
      <c r="G31" s="289"/>
      <c r="H31" s="68"/>
      <c r="I31" s="68"/>
      <c r="J31" s="75"/>
      <c r="K31" s="187"/>
    </row>
    <row r="32" spans="2:11" ht="15" x14ac:dyDescent="0.25">
      <c r="B32" s="381" t="s">
        <v>190</v>
      </c>
      <c r="C32" s="382"/>
      <c r="D32" s="382"/>
      <c r="E32" s="382"/>
      <c r="F32" s="382"/>
      <c r="G32" s="382"/>
      <c r="H32" s="382"/>
      <c r="I32" s="383"/>
      <c r="J32" s="20">
        <f>SUM(J35:J45)</f>
        <v>0</v>
      </c>
      <c r="K32" s="187"/>
    </row>
    <row r="33" spans="2:11" ht="15" x14ac:dyDescent="0.25">
      <c r="B33" s="9">
        <v>5</v>
      </c>
      <c r="C33" s="388" t="s">
        <v>191</v>
      </c>
      <c r="D33" s="388"/>
      <c r="E33" s="388"/>
      <c r="F33" s="388"/>
      <c r="G33" s="388"/>
      <c r="H33" s="388"/>
      <c r="I33" s="388"/>
      <c r="J33" s="389"/>
      <c r="K33" s="187"/>
    </row>
    <row r="34" spans="2:11" ht="15" x14ac:dyDescent="0.25">
      <c r="B34" s="273"/>
      <c r="C34" s="291" t="s">
        <v>71</v>
      </c>
      <c r="D34" s="291"/>
      <c r="E34" s="291"/>
      <c r="F34" s="291"/>
      <c r="G34" s="291"/>
      <c r="H34" s="291"/>
      <c r="I34" s="291"/>
      <c r="J34" s="274"/>
      <c r="K34" s="187"/>
    </row>
    <row r="35" spans="2:11" ht="15" x14ac:dyDescent="0.25">
      <c r="B35" s="84" t="s">
        <v>72</v>
      </c>
      <c r="C35" s="85" t="s">
        <v>186</v>
      </c>
      <c r="D35" s="85">
        <f>VLOOKUP(B35,'MEMÓRIA DE CÁLCULO'!$B:$H,2,)</f>
        <v>60191</v>
      </c>
      <c r="E35" s="42" t="str">
        <f>VLOOKUP(B35,'MEMÓRIA DE CÁLCULO'!$B:$H,3,)</f>
        <v>FORMA DE TÁBUA CINTA BALDRAME U=8 VEZES</v>
      </c>
      <c r="F35" s="87" t="s">
        <v>21</v>
      </c>
      <c r="G35" s="112">
        <f>VLOOKUP(B35,'MEMÓRIA DE CÁLCULO'!B:H,7,)</f>
        <v>114.6</v>
      </c>
      <c r="H35" s="62"/>
      <c r="I35" s="62"/>
      <c r="J35" s="111">
        <f>(H35+I35)*G35</f>
        <v>0</v>
      </c>
      <c r="K35" s="187" t="e">
        <f>(J35*100%)/$J$86</f>
        <v>#DIV/0!</v>
      </c>
    </row>
    <row r="36" spans="2:11" ht="15" x14ac:dyDescent="0.25">
      <c r="B36" s="54" t="s">
        <v>75</v>
      </c>
      <c r="C36" s="39" t="s">
        <v>186</v>
      </c>
      <c r="D36" s="39" t="str">
        <f>VLOOKUP(B36,'MEMÓRIA DE CÁLCULO'!$B:$H,2,)</f>
        <v>60304</v>
      </c>
      <c r="E36" s="42" t="str">
        <f>VLOOKUP(B36,'MEMÓRIA DE CÁLCULO'!$B:$H,3,)</f>
        <v>AÇO CA-50A - 8,0 MM (5/16") - (OBRAS CIVIS)</v>
      </c>
      <c r="F36" s="40" t="s">
        <v>21</v>
      </c>
      <c r="G36" s="46">
        <f>VLOOKUP(B36,'MEMÓRIA DE CÁLCULO'!B:H,7,)</f>
        <v>366.72</v>
      </c>
      <c r="H36" s="45"/>
      <c r="I36" s="45"/>
      <c r="J36" s="56">
        <f t="shared" ref="J36:J45" si="1">(H36+I36)*G36</f>
        <v>0</v>
      </c>
      <c r="K36" s="187" t="e">
        <f>(J36*100%)/$J$86</f>
        <v>#DIV/0!</v>
      </c>
    </row>
    <row r="37" spans="2:11" ht="15" x14ac:dyDescent="0.25">
      <c r="B37" s="54" t="s">
        <v>80</v>
      </c>
      <c r="C37" s="39" t="s">
        <v>186</v>
      </c>
      <c r="D37" s="39">
        <f>VLOOKUP(B37,'MEMÓRIA DE CÁLCULO'!$B:$H,2,)</f>
        <v>60314</v>
      </c>
      <c r="E37" s="42" t="str">
        <f>VLOOKUP(B37,'MEMÓRIA DE CÁLCULO'!$B:$H,3,)</f>
        <v>AÇO CA - 60A - 5,0 MM - (OBRAS CIVIS)</v>
      </c>
      <c r="F37" s="40" t="s">
        <v>78</v>
      </c>
      <c r="G37" s="46">
        <f>VLOOKUP(B37,'MEMÓRIA DE CÁLCULO'!B:H,7,)</f>
        <v>220.03200000000001</v>
      </c>
      <c r="H37" s="45"/>
      <c r="I37" s="45"/>
      <c r="J37" s="56">
        <f t="shared" si="1"/>
        <v>0</v>
      </c>
      <c r="K37" s="187" t="e">
        <f>(J37*100%)/$J$86</f>
        <v>#DIV/0!</v>
      </c>
    </row>
    <row r="38" spans="2:11" ht="15" x14ac:dyDescent="0.25">
      <c r="B38" s="54" t="s">
        <v>83</v>
      </c>
      <c r="C38" s="39" t="s">
        <v>186</v>
      </c>
      <c r="D38" s="39">
        <f>VLOOKUP(B38,'MEMÓRIA DE CÁLCULO'!$B:$H,2,)</f>
        <v>60517</v>
      </c>
      <c r="E38" s="42" t="str">
        <f>VLOOKUP(B38,'MEMÓRIA DE CÁLCULO'!$B:$H,3,)</f>
        <v>PREPARO COM BETONEIRA E TRANSPORTE MANUAL DE CONCRETO FCK=25 MPA</v>
      </c>
      <c r="F38" s="40" t="s">
        <v>33</v>
      </c>
      <c r="G38" s="46">
        <f>VLOOKUP(B38,'MEMÓRIA DE CÁLCULO'!B:H,7,)</f>
        <v>14.324999999999999</v>
      </c>
      <c r="H38" s="45"/>
      <c r="I38" s="45"/>
      <c r="J38" s="56">
        <f t="shared" si="1"/>
        <v>0</v>
      </c>
      <c r="K38" s="187" t="e">
        <f>(J38*100%)/$J$86</f>
        <v>#DIV/0!</v>
      </c>
    </row>
    <row r="39" spans="2:11" ht="15" x14ac:dyDescent="0.25">
      <c r="B39" s="54" t="s">
        <v>87</v>
      </c>
      <c r="C39" s="39" t="s">
        <v>186</v>
      </c>
      <c r="D39" s="39">
        <f>VLOOKUP(B39,'MEMÓRIA DE CÁLCULO'!$B:$H,2,)</f>
        <v>60801</v>
      </c>
      <c r="E39" s="42" t="str">
        <f>VLOOKUP(B39,'MEMÓRIA DE CÁLCULO'!$B:$H,3,)</f>
        <v>LANÇAMENTO/APLICAÇÃO/ADENSAMENTO MANUAL DE CONCRETO - (OBRAS CIVIS)</v>
      </c>
      <c r="F39" s="40" t="s">
        <v>33</v>
      </c>
      <c r="G39" s="46">
        <f>VLOOKUP(B39,'MEMÓRIA DE CÁLCULO'!B:H,7,)</f>
        <v>14.324999999999999</v>
      </c>
      <c r="H39" s="45"/>
      <c r="I39" s="45"/>
      <c r="J39" s="56">
        <f t="shared" si="1"/>
        <v>0</v>
      </c>
      <c r="K39" s="187" t="e">
        <f>(J39*100%)/$J$86</f>
        <v>#DIV/0!</v>
      </c>
    </row>
    <row r="40" spans="2:11" ht="15" x14ac:dyDescent="0.25">
      <c r="B40" s="273"/>
      <c r="C40" s="291" t="s">
        <v>192</v>
      </c>
      <c r="D40" s="291"/>
      <c r="E40" s="291"/>
      <c r="F40" s="291"/>
      <c r="G40" s="291"/>
      <c r="H40" s="291"/>
      <c r="I40" s="291"/>
      <c r="J40" s="274"/>
      <c r="K40" s="187"/>
    </row>
    <row r="41" spans="2:11" ht="15" x14ac:dyDescent="0.25">
      <c r="B41" s="54" t="s">
        <v>90</v>
      </c>
      <c r="C41" s="39" t="s">
        <v>186</v>
      </c>
      <c r="D41" s="39" t="str">
        <f>VLOOKUP(B41,'MEMÓRIA DE CÁLCULO'!$B:$H,2,)</f>
        <v>60304</v>
      </c>
      <c r="E41" s="42" t="str">
        <f>VLOOKUP(B41,'MEMÓRIA DE CÁLCULO'!$B:$H,3,)</f>
        <v>AÇO CA-50A - 8,0 MM (5/16") - (OBRAS CIVIS)</v>
      </c>
      <c r="F41" s="40" t="s">
        <v>33</v>
      </c>
      <c r="G41" s="46">
        <f>VLOOKUP(B41,'MEMÓRIA DE CÁLCULO'!B:H,7,)</f>
        <v>109.20000000000002</v>
      </c>
      <c r="H41" s="45"/>
      <c r="I41" s="45"/>
      <c r="J41" s="56">
        <f t="shared" si="1"/>
        <v>0</v>
      </c>
      <c r="K41" s="187" t="e">
        <f>(J41*100%)/$J$86</f>
        <v>#DIV/0!</v>
      </c>
    </row>
    <row r="42" spans="2:11" ht="15" x14ac:dyDescent="0.25">
      <c r="B42" s="54" t="s">
        <v>92</v>
      </c>
      <c r="C42" s="39" t="s">
        <v>186</v>
      </c>
      <c r="D42" s="39">
        <f>VLOOKUP(B42,'MEMÓRIA DE CÁLCULO'!$B:$H,2,)</f>
        <v>60314</v>
      </c>
      <c r="E42" s="42" t="str">
        <f>VLOOKUP(B42,'MEMÓRIA DE CÁLCULO'!$B:$H,3,)</f>
        <v>AÇO CA - 60A - 5,0 MM - (OBRAS CIVIS)</v>
      </c>
      <c r="F42" s="40" t="s">
        <v>21</v>
      </c>
      <c r="G42" s="46">
        <f>VLOOKUP(B42,'MEMÓRIA DE CÁLCULO'!B:H,7,)</f>
        <v>262.08</v>
      </c>
      <c r="H42" s="45"/>
      <c r="I42" s="45"/>
      <c r="J42" s="56">
        <f t="shared" si="1"/>
        <v>0</v>
      </c>
      <c r="K42" s="187" t="e">
        <f>(J42*100%)/$J$86</f>
        <v>#DIV/0!</v>
      </c>
    </row>
    <row r="43" spans="2:11" ht="15" x14ac:dyDescent="0.25">
      <c r="B43" s="54" t="s">
        <v>93</v>
      </c>
      <c r="C43" s="39" t="s">
        <v>186</v>
      </c>
      <c r="D43" s="85">
        <f>VLOOKUP(B43,'MEMÓRIA DE CÁLCULO'!$B:$H,2,)</f>
        <v>60517</v>
      </c>
      <c r="E43" s="42" t="str">
        <f>VLOOKUP(B43,'MEMÓRIA DE CÁLCULO'!$B:$H,3,)</f>
        <v>PREPARO COM BETONEIRA E TRANSPORTE MANUAL DE CONCRETO FCK=25 MPA</v>
      </c>
      <c r="F43" s="40" t="s">
        <v>33</v>
      </c>
      <c r="G43" s="112">
        <f>VLOOKUP(B43,'MEMÓRIA DE CÁLCULO'!B:H,7,)</f>
        <v>17.0625</v>
      </c>
      <c r="H43" s="45"/>
      <c r="I43" s="45"/>
      <c r="J43" s="111">
        <f>(H43+I43)*G43</f>
        <v>0</v>
      </c>
      <c r="K43" s="187" t="e">
        <f>(J43*100%)/$J$86</f>
        <v>#DIV/0!</v>
      </c>
    </row>
    <row r="44" spans="2:11" ht="15" x14ac:dyDescent="0.25">
      <c r="B44" s="54" t="s">
        <v>95</v>
      </c>
      <c r="C44" s="39" t="s">
        <v>186</v>
      </c>
      <c r="D44" s="39">
        <f>VLOOKUP(B44,'MEMÓRIA DE CÁLCULO'!$B:$H,2,)</f>
        <v>60801</v>
      </c>
      <c r="E44" s="42" t="str">
        <f>VLOOKUP(B44,'MEMÓRIA DE CÁLCULO'!$B:$H,3,)</f>
        <v>LANÇAMENTO/APLICAÇÃO/ADENSAMENTO MANUAL DE CONCRETO - (OBRAS CIVIS)</v>
      </c>
      <c r="F44" s="40" t="s">
        <v>33</v>
      </c>
      <c r="G44" s="46">
        <f>VLOOKUP(B44,'MEMÓRIA DE CÁLCULO'!B:H,7,)</f>
        <v>17.0625</v>
      </c>
      <c r="H44" s="45"/>
      <c r="I44" s="45"/>
      <c r="J44" s="56">
        <f t="shared" si="1"/>
        <v>0</v>
      </c>
      <c r="K44" s="187" t="e">
        <f>(J44*100%)/$J$86</f>
        <v>#DIV/0!</v>
      </c>
    </row>
    <row r="45" spans="2:11" ht="15" x14ac:dyDescent="0.25">
      <c r="B45" s="54" t="s">
        <v>96</v>
      </c>
      <c r="C45" s="39" t="s">
        <v>186</v>
      </c>
      <c r="D45" s="39">
        <f>VLOOKUP(B45,'MEMÓRIA DE CÁLCULO'!$B:$H,2,)</f>
        <v>60209</v>
      </c>
      <c r="E45" s="42" t="str">
        <f>VLOOKUP(B45,'MEMÓRIA DE CÁLCULO'!$B:$H,3,)</f>
        <v>FORMA CH.COMPENSADA 12MM-VIGA/PILAR U=4V - (OBRAS CIVIS)</v>
      </c>
      <c r="F45" s="40" t="s">
        <v>21</v>
      </c>
      <c r="G45" s="46">
        <f>VLOOKUP(B45,'MEMÓRIA DE CÁLCULO'!B:H,7,)</f>
        <v>136.5</v>
      </c>
      <c r="H45" s="262"/>
      <c r="I45" s="262"/>
      <c r="J45" s="56">
        <f t="shared" si="1"/>
        <v>0</v>
      </c>
      <c r="K45" s="187" t="e">
        <f>(J45*100%)/$J$86</f>
        <v>#DIV/0!</v>
      </c>
    </row>
    <row r="46" spans="2:11" ht="15" x14ac:dyDescent="0.25">
      <c r="B46" s="13"/>
      <c r="C46" s="396"/>
      <c r="D46" s="385"/>
      <c r="E46" s="385"/>
      <c r="F46" s="385"/>
      <c r="G46" s="385"/>
      <c r="H46" s="385"/>
      <c r="I46" s="385"/>
      <c r="J46" s="386"/>
      <c r="K46" s="187"/>
    </row>
    <row r="47" spans="2:11" ht="15" x14ac:dyDescent="0.25">
      <c r="B47" s="381" t="s">
        <v>193</v>
      </c>
      <c r="C47" s="382"/>
      <c r="D47" s="382"/>
      <c r="E47" s="382"/>
      <c r="F47" s="382"/>
      <c r="G47" s="382"/>
      <c r="H47" s="382"/>
      <c r="I47" s="383"/>
      <c r="J47" s="20">
        <f>SUM(J49:J53)</f>
        <v>0</v>
      </c>
      <c r="K47" s="187"/>
    </row>
    <row r="48" spans="2:11" ht="15" x14ac:dyDescent="0.25">
      <c r="B48" s="9">
        <v>6</v>
      </c>
      <c r="C48" s="388" t="s">
        <v>194</v>
      </c>
      <c r="D48" s="388"/>
      <c r="E48" s="388"/>
      <c r="F48" s="388"/>
      <c r="G48" s="388"/>
      <c r="H48" s="388"/>
      <c r="I48" s="388"/>
      <c r="J48" s="389"/>
      <c r="K48" s="187"/>
    </row>
    <row r="49" spans="2:11" ht="15" x14ac:dyDescent="0.25">
      <c r="B49" s="84" t="s">
        <v>102</v>
      </c>
      <c r="C49" s="47" t="s">
        <v>186</v>
      </c>
      <c r="D49" s="39" t="str">
        <f>VLOOKUP(B49,'MEMÓRIA DE CÁLCULO'!$B:$H,2,)</f>
        <v>70564</v>
      </c>
      <c r="E49" s="42" t="str">
        <f>VLOOKUP(B49,'MEMÓRIA DE CÁLCULO'!$B:$H,3,)</f>
        <v>CABO ISOLADO PVC 750 V, No. 4 MM2 (AZUL)</v>
      </c>
      <c r="F49" s="87" t="s">
        <v>15</v>
      </c>
      <c r="G49" s="113">
        <f>VLOOKUP(B49,'MEMÓRIA DE CÁLCULO'!$B:$H,7,)</f>
        <v>15</v>
      </c>
      <c r="H49" s="110"/>
      <c r="I49" s="110"/>
      <c r="J49" s="111">
        <f t="shared" ref="J49:J54" si="2">(I49+H49)*G49</f>
        <v>0</v>
      </c>
      <c r="K49" s="187" t="e">
        <f t="shared" ref="K49:K55" si="3">(J49*100%)/$J$86</f>
        <v>#DIV/0!</v>
      </c>
    </row>
    <row r="50" spans="2:11" ht="19.5" customHeight="1" x14ac:dyDescent="0.25">
      <c r="B50" s="54" t="s">
        <v>106</v>
      </c>
      <c r="C50" s="47" t="s">
        <v>186</v>
      </c>
      <c r="D50" s="39" t="str">
        <f>VLOOKUP(B50,'MEMÓRIA DE CÁLCULO'!$B:$H,2,)</f>
        <v>70564</v>
      </c>
      <c r="E50" s="42" t="str">
        <f>VLOOKUP(B50,'MEMÓRIA DE CÁLCULO'!$B:$H,3,)</f>
        <v>CABO ISOLADO PVC 750 V, No. 4 MM2 (PRETO)</v>
      </c>
      <c r="F50" s="40" t="s">
        <v>15</v>
      </c>
      <c r="G50" s="48">
        <f>VLOOKUP(B50,'MEMÓRIA DE CÁLCULO'!$B:$H,7,)</f>
        <v>15</v>
      </c>
      <c r="H50" s="110"/>
      <c r="I50" s="110"/>
      <c r="J50" s="56">
        <f t="shared" si="2"/>
        <v>0</v>
      </c>
      <c r="K50" s="187" t="e">
        <f t="shared" si="3"/>
        <v>#DIV/0!</v>
      </c>
    </row>
    <row r="51" spans="2:11" ht="15" x14ac:dyDescent="0.25">
      <c r="B51" s="54" t="s">
        <v>108</v>
      </c>
      <c r="C51" s="47" t="s">
        <v>186</v>
      </c>
      <c r="D51" s="39" t="str">
        <f>VLOOKUP(B51,'MEMÓRIA DE CÁLCULO'!$B:$H,2,)</f>
        <v>70564</v>
      </c>
      <c r="E51" s="42" t="str">
        <f>VLOOKUP(B51,'MEMÓRIA DE CÁLCULO'!$B:$H,3,)</f>
        <v>CABO ISOLADO PVC 750 V, No. 4 MM2 (VERDE)</v>
      </c>
      <c r="F51" s="40" t="s">
        <v>15</v>
      </c>
      <c r="G51" s="48">
        <f>VLOOKUP(B51,'MEMÓRIA DE CÁLCULO'!$B:$H,7,)</f>
        <v>15</v>
      </c>
      <c r="H51" s="110"/>
      <c r="I51" s="110"/>
      <c r="J51" s="56">
        <f t="shared" si="2"/>
        <v>0</v>
      </c>
      <c r="K51" s="187" t="e">
        <f t="shared" si="3"/>
        <v>#DIV/0!</v>
      </c>
    </row>
    <row r="52" spans="2:11" ht="15" x14ac:dyDescent="0.25">
      <c r="B52" s="54" t="s">
        <v>110</v>
      </c>
      <c r="C52" s="47" t="s">
        <v>186</v>
      </c>
      <c r="D52" s="39">
        <f>VLOOKUP(B52,'MEMÓRIA DE CÁLCULO'!$B:$H,2,)</f>
        <v>71194</v>
      </c>
      <c r="E52" s="42" t="str">
        <f>VLOOKUP(B52,'MEMÓRIA DE CÁLCULO'!$B:$H,3,)</f>
        <v>ELETRODUTO PVC FLEXÍVEL - MANGUEIRA CORRUGADA LEVE - DIAM. 25MM</v>
      </c>
      <c r="F52" s="40" t="s">
        <v>15</v>
      </c>
      <c r="G52" s="48">
        <f>VLOOKUP(B52,'MEMÓRIA DE CÁLCULO'!$B:$H,7,)</f>
        <v>15</v>
      </c>
      <c r="H52" s="44"/>
      <c r="I52" s="44"/>
      <c r="J52" s="56">
        <f t="shared" si="2"/>
        <v>0</v>
      </c>
      <c r="K52" s="187" t="e">
        <f t="shared" si="3"/>
        <v>#DIV/0!</v>
      </c>
    </row>
    <row r="53" spans="2:11" ht="15" x14ac:dyDescent="0.25">
      <c r="B53" s="54" t="s">
        <v>112</v>
      </c>
      <c r="C53" s="331" t="s">
        <v>195</v>
      </c>
      <c r="D53" s="49" t="str">
        <f>VLOOKUP(B53,'MEMÓRIA DE CÁLCULO'!$B:$H,2,)</f>
        <v>91985</v>
      </c>
      <c r="E53" s="42" t="str">
        <f>VLOOKUP(B53,'MEMÓRIA DE CÁLCULO'!$B:$H,3,)</f>
        <v>INTERRUPTOR PULSADOR CAMPAINHA (1 MÓDULO), 10A/250V, INCLUINDO SUPORTE E PLACA</v>
      </c>
      <c r="F53" s="40" t="s">
        <v>115</v>
      </c>
      <c r="G53" s="48">
        <f>VLOOKUP(B53,'MEMÓRIA DE CÁLCULO'!$B:$H,7,)</f>
        <v>1</v>
      </c>
      <c r="H53" s="277"/>
      <c r="I53" s="277"/>
      <c r="J53" s="56">
        <f t="shared" si="2"/>
        <v>0</v>
      </c>
      <c r="K53" s="187" t="e">
        <f t="shared" si="3"/>
        <v>#DIV/0!</v>
      </c>
    </row>
    <row r="54" spans="2:11" ht="15" x14ac:dyDescent="0.25">
      <c r="B54" s="54" t="s">
        <v>117</v>
      </c>
      <c r="C54" s="331" t="s">
        <v>195</v>
      </c>
      <c r="D54" s="49" t="str">
        <f>VLOOKUP(B54,'MEMÓRIA DE CÁLCULO'!$B:$H,2,)</f>
        <v>91986</v>
      </c>
      <c r="E54" s="42" t="str">
        <f>VLOOKUP(B54,'MEMÓRIA DE CÁLCULO'!$B:$H,3,)</f>
        <v>CAMPAINHA CIGARRA (1 MÓDULO), 10A/250V, INCLUINDO SUPORTE E PLACA</v>
      </c>
      <c r="F54" s="40" t="s">
        <v>115</v>
      </c>
      <c r="G54" s="48">
        <f>VLOOKUP(B54,'MEMÓRIA DE CÁLCULO'!$B:$H,7,)</f>
        <v>1</v>
      </c>
      <c r="H54" s="277"/>
      <c r="I54" s="277"/>
      <c r="J54" s="56">
        <f t="shared" si="2"/>
        <v>0</v>
      </c>
      <c r="K54" s="187" t="e">
        <f t="shared" si="3"/>
        <v>#DIV/0!</v>
      </c>
    </row>
    <row r="55" spans="2:11" ht="15" x14ac:dyDescent="0.25">
      <c r="B55" s="54" t="s">
        <v>120</v>
      </c>
      <c r="C55" s="47" t="s">
        <v>186</v>
      </c>
      <c r="D55" s="39" t="str">
        <f>VLOOKUP(B55,'MEMÓRIA DE CÁLCULO'!$B:$H,2,)</f>
        <v>70603</v>
      </c>
      <c r="E55" s="42" t="str">
        <f>VLOOKUP(B55,'MEMÓRIA DE CÁLCULO'!$B:$H,3,)</f>
        <v>CABO TELEFONICO CCI-50 3 PARES</v>
      </c>
      <c r="F55" s="40" t="s">
        <v>15</v>
      </c>
      <c r="G55" s="48">
        <f>VLOOKUP(B55,'MEMÓRIA DE CÁLCULO'!$B:$H,7,)</f>
        <v>15</v>
      </c>
      <c r="H55" s="277"/>
      <c r="I55" s="277"/>
      <c r="J55" s="56">
        <f t="shared" ref="J55" si="4">(I55+H55)*G55</f>
        <v>0</v>
      </c>
      <c r="K55" s="187" t="e">
        <f t="shared" si="3"/>
        <v>#DIV/0!</v>
      </c>
    </row>
    <row r="56" spans="2:11" ht="15" x14ac:dyDescent="0.25">
      <c r="B56" s="13"/>
      <c r="C56" s="72"/>
      <c r="D56" s="72"/>
      <c r="E56" s="67"/>
      <c r="G56" s="292"/>
      <c r="H56" s="73"/>
      <c r="I56" s="73"/>
      <c r="J56" s="74"/>
      <c r="K56" s="187"/>
    </row>
    <row r="57" spans="2:11" ht="15" x14ac:dyDescent="0.25">
      <c r="B57" s="381" t="s">
        <v>196</v>
      </c>
      <c r="C57" s="382"/>
      <c r="D57" s="382"/>
      <c r="E57" s="382"/>
      <c r="F57" s="382"/>
      <c r="G57" s="382"/>
      <c r="H57" s="382"/>
      <c r="I57" s="383"/>
      <c r="J57" s="21">
        <f>SUM(J59:J59)</f>
        <v>0</v>
      </c>
      <c r="K57" s="187"/>
    </row>
    <row r="58" spans="2:11" ht="15" x14ac:dyDescent="0.25">
      <c r="B58" s="9">
        <v>7</v>
      </c>
      <c r="C58" s="390" t="s">
        <v>197</v>
      </c>
      <c r="D58" s="390"/>
      <c r="E58" s="390"/>
      <c r="F58" s="390"/>
      <c r="G58" s="390"/>
      <c r="H58" s="390"/>
      <c r="I58" s="390"/>
      <c r="J58" s="391"/>
      <c r="K58" s="187"/>
    </row>
    <row r="59" spans="2:11" ht="15" x14ac:dyDescent="0.25">
      <c r="B59" s="54" t="s">
        <v>126</v>
      </c>
      <c r="C59" s="39" t="s">
        <v>186</v>
      </c>
      <c r="D59" s="39">
        <f>VLOOKUP(B59,'MEMÓRIA DE CÁLCULO'!B:H,2,)</f>
        <v>100160</v>
      </c>
      <c r="E59" s="42" t="str">
        <f>VLOOKUP(B59,'MEMÓRIA DE CÁLCULO'!$B:$H,3,)</f>
        <v>ALVENARIA DE TIJOLO FURADO 1/2 VEZ 14X29X9 - 6 FUROS - ARG. (1CALH:4ARML+100KG DE CI/M3)</v>
      </c>
      <c r="F59" s="40" t="s">
        <v>21</v>
      </c>
      <c r="G59" s="40">
        <f>'MEMÓRIA DE CÁLCULO'!H86</f>
        <v>641.75999999999988</v>
      </c>
      <c r="H59" s="238"/>
      <c r="I59" s="45"/>
      <c r="J59" s="56">
        <f>(I59+H59)*G59</f>
        <v>0</v>
      </c>
      <c r="K59" s="187" t="e">
        <f>(J59*100%)/$J$86</f>
        <v>#DIV/0!</v>
      </c>
    </row>
    <row r="60" spans="2:11" ht="15" x14ac:dyDescent="0.25">
      <c r="B60" s="13"/>
      <c r="D60" s="293"/>
      <c r="E60" s="67"/>
      <c r="H60" s="16"/>
      <c r="I60" s="16"/>
      <c r="J60" s="74"/>
      <c r="K60" s="187"/>
    </row>
    <row r="61" spans="2:11" ht="15" x14ac:dyDescent="0.25">
      <c r="B61" s="381" t="s">
        <v>198</v>
      </c>
      <c r="C61" s="382"/>
      <c r="D61" s="382"/>
      <c r="E61" s="382"/>
      <c r="F61" s="382"/>
      <c r="G61" s="382"/>
      <c r="H61" s="382"/>
      <c r="I61" s="383"/>
      <c r="J61" s="21">
        <f>SUM(J63:J63)</f>
        <v>0</v>
      </c>
      <c r="K61" s="187"/>
    </row>
    <row r="62" spans="2:11" ht="15" x14ac:dyDescent="0.25">
      <c r="B62" s="9">
        <v>8</v>
      </c>
      <c r="C62" s="390" t="s">
        <v>131</v>
      </c>
      <c r="D62" s="390"/>
      <c r="E62" s="390"/>
      <c r="F62" s="390"/>
      <c r="G62" s="390"/>
      <c r="H62" s="390"/>
      <c r="I62" s="390"/>
      <c r="J62" s="391"/>
      <c r="K62" s="187"/>
    </row>
    <row r="63" spans="2:11" ht="15" x14ac:dyDescent="0.25">
      <c r="B63" s="84" t="s">
        <v>132</v>
      </c>
      <c r="C63" s="85" t="s">
        <v>186</v>
      </c>
      <c r="D63" s="39" t="str">
        <f>VLOOKUP(B63,'MEMÓRIA DE CÁLCULO'!B:H,2,)</f>
        <v xml:space="preserve">120902 </v>
      </c>
      <c r="E63" s="42" t="str">
        <f>VLOOKUP(B63,'MEMÓRIA DE CÁLCULO'!$B:$H,3,)</f>
        <v xml:space="preserve">IMPERMEABILIZACAO VIGAS BALDRAMES E=2,0 CM </v>
      </c>
      <c r="F63" s="87" t="s">
        <v>21</v>
      </c>
      <c r="G63" s="40">
        <f>VLOOKUP(B63,'MEMÓRIA DE CÁLCULO'!B:H,7,)</f>
        <v>137.52000000000001</v>
      </c>
      <c r="H63" s="62"/>
      <c r="I63" s="88"/>
      <c r="J63" s="89">
        <f>(I63+H63)*G63</f>
        <v>0</v>
      </c>
      <c r="K63" s="187" t="e">
        <f>(J63*100%)/$J$86</f>
        <v>#DIV/0!</v>
      </c>
    </row>
    <row r="64" spans="2:11" ht="15" x14ac:dyDescent="0.25">
      <c r="B64" s="13"/>
      <c r="D64" s="4"/>
      <c r="E64" s="67"/>
      <c r="H64" s="70"/>
      <c r="I64" s="70"/>
      <c r="J64" s="71"/>
      <c r="K64" s="187"/>
    </row>
    <row r="65" spans="2:12" s="4" customFormat="1" ht="15" x14ac:dyDescent="0.25">
      <c r="B65" s="381" t="s">
        <v>199</v>
      </c>
      <c r="C65" s="382"/>
      <c r="D65" s="382"/>
      <c r="E65" s="382"/>
      <c r="F65" s="382"/>
      <c r="G65" s="382"/>
      <c r="H65" s="382"/>
      <c r="I65" s="383"/>
      <c r="J65" s="22">
        <f>SUM(J67:J70)</f>
        <v>0</v>
      </c>
      <c r="K65" s="187"/>
    </row>
    <row r="66" spans="2:12" s="10" customFormat="1" ht="15" x14ac:dyDescent="0.25">
      <c r="B66" s="9">
        <v>9</v>
      </c>
      <c r="C66" s="390" t="s">
        <v>138</v>
      </c>
      <c r="D66" s="390"/>
      <c r="E66" s="390"/>
      <c r="F66" s="390"/>
      <c r="G66" s="390"/>
      <c r="H66" s="390"/>
      <c r="I66" s="390"/>
      <c r="J66" s="391"/>
      <c r="K66" s="187"/>
    </row>
    <row r="67" spans="2:12" s="10" customFormat="1" ht="15" x14ac:dyDescent="0.25">
      <c r="B67" s="90" t="s">
        <v>139</v>
      </c>
      <c r="C67" s="91" t="s">
        <v>186</v>
      </c>
      <c r="D67" s="91">
        <f>VLOOKUP(B67,'MEMÓRIA DE CÁLCULO'!B:H,2,)</f>
        <v>200101</v>
      </c>
      <c r="E67" s="53" t="str">
        <f>VLOOKUP(B67,'MEMÓRIA DE CÁLCULO'!B:H,3,)</f>
        <v>CHAPISCO COMUM</v>
      </c>
      <c r="F67" s="92" t="s">
        <v>21</v>
      </c>
      <c r="G67" s="92">
        <f>VLOOKUP(B67,'MEMÓRIA DE CÁLCULO'!B:H,7,)</f>
        <v>1283.5199999999998</v>
      </c>
      <c r="H67" s="93"/>
      <c r="I67" s="93"/>
      <c r="J67" s="94">
        <f>(I67+H67)*G67</f>
        <v>0</v>
      </c>
      <c r="K67" s="187" t="e">
        <f>(J67*100%)/$J$86</f>
        <v>#DIV/0!</v>
      </c>
      <c r="L67" s="19"/>
    </row>
    <row r="68" spans="2:12" s="10" customFormat="1" ht="15" x14ac:dyDescent="0.25">
      <c r="B68" s="58" t="s">
        <v>141</v>
      </c>
      <c r="C68" s="49" t="s">
        <v>186</v>
      </c>
      <c r="D68" s="49">
        <f>VLOOKUP(B68,'MEMÓRIA DE CÁLCULO'!B:H,2,)</f>
        <v>200201</v>
      </c>
      <c r="E68" s="42" t="str">
        <f>VLOOKUP(B68,'MEMÓRIA DE CÁLCULO'!B:H,3,)</f>
        <v>EMBOÇO (1CI:4 ARML)</v>
      </c>
      <c r="F68" s="51" t="s">
        <v>21</v>
      </c>
      <c r="G68" s="51">
        <f>VLOOKUP(B68,'MEMÓRIA DE CÁLCULO'!B:H,7,)</f>
        <v>1283.5199999999998</v>
      </c>
      <c r="H68" s="52"/>
      <c r="I68" s="52"/>
      <c r="J68" s="59">
        <f>(I68+H68)*G68</f>
        <v>0</v>
      </c>
      <c r="K68" s="187" t="e">
        <f>(J68*100%)/$J$86</f>
        <v>#DIV/0!</v>
      </c>
      <c r="L68" s="19"/>
    </row>
    <row r="69" spans="2:12" s="10" customFormat="1" ht="15" x14ac:dyDescent="0.25">
      <c r="B69" s="58" t="s">
        <v>144</v>
      </c>
      <c r="C69" s="49" t="s">
        <v>186</v>
      </c>
      <c r="D69" s="49">
        <f>VLOOKUP(B69,'MEMÓRIA DE CÁLCULO'!B:H,2,)</f>
        <v>200403</v>
      </c>
      <c r="E69" s="42" t="str">
        <f>VLOOKUP(B69,'MEMÓRIA DE CÁLCULO'!B:H,3,)</f>
        <v>REBOCO (1 CALH:4 ARFC+100kgCI/M3)</v>
      </c>
      <c r="F69" s="51" t="s">
        <v>21</v>
      </c>
      <c r="G69" s="51">
        <f>VLOOKUP(B69,'MEMÓRIA DE CÁLCULO'!B:H,7,)</f>
        <v>1283.5199999999998</v>
      </c>
      <c r="H69" s="52"/>
      <c r="I69" s="52"/>
      <c r="J69" s="59">
        <f>(I69+H69)*G69</f>
        <v>0</v>
      </c>
      <c r="K69" s="187" t="e">
        <f>(J69*100%)/$J$86</f>
        <v>#DIV/0!</v>
      </c>
      <c r="L69" s="19"/>
    </row>
    <row r="70" spans="2:12" s="10" customFormat="1" ht="27.75" customHeight="1" x14ac:dyDescent="0.25">
      <c r="B70" s="54" t="s">
        <v>146</v>
      </c>
      <c r="C70" s="39" t="s">
        <v>186</v>
      </c>
      <c r="D70" s="39">
        <f>VLOOKUP(B70,'MEMÓRIA DE CÁLCULO'!B:H,2,)</f>
        <v>201410</v>
      </c>
      <c r="E70" s="42" t="str">
        <f>VLOOKUP(B70,'MEMÓRIA DE CÁLCULO'!B:H,3,)</f>
        <v>MOLDURA TIPO "U" INVERTIDO EM ARGAMASSA COM 2CM DE ESPESSURA TIPO PINGADEIRA EM MURO/PLATIBANDA ( A PARTE VERTICAL DESCE 2,5CM)</v>
      </c>
      <c r="F70" s="40" t="s">
        <v>21</v>
      </c>
      <c r="G70" s="40">
        <f>VLOOKUP(B70,'MEMÓRIA DE CÁLCULO'!B:H,7,)</f>
        <v>45.84</v>
      </c>
      <c r="H70" s="50"/>
      <c r="I70" s="50"/>
      <c r="J70" s="57">
        <f>(I70+H70)*G70</f>
        <v>0</v>
      </c>
      <c r="K70" s="187" t="e">
        <f>(J70*100%)/$J$86</f>
        <v>#DIV/0!</v>
      </c>
      <c r="L70" s="19"/>
    </row>
    <row r="71" spans="2:12" s="10" customFormat="1" ht="15" x14ac:dyDescent="0.25">
      <c r="B71" s="155"/>
      <c r="C71" s="156"/>
      <c r="D71" s="156"/>
      <c r="E71" s="157"/>
      <c r="F71" s="158"/>
      <c r="G71" s="158"/>
      <c r="H71" s="159"/>
      <c r="I71" s="159"/>
      <c r="J71" s="160"/>
      <c r="K71" s="187"/>
      <c r="L71" s="19"/>
    </row>
    <row r="72" spans="2:12" ht="15" x14ac:dyDescent="0.25">
      <c r="B72" s="399" t="s">
        <v>200</v>
      </c>
      <c r="C72" s="400"/>
      <c r="D72" s="400"/>
      <c r="E72" s="400"/>
      <c r="F72" s="400"/>
      <c r="G72" s="400"/>
      <c r="H72" s="400"/>
      <c r="I72" s="400"/>
      <c r="J72" s="23">
        <f>SUM(J74:J74)</f>
        <v>0</v>
      </c>
      <c r="K72" s="187"/>
    </row>
    <row r="73" spans="2:12" ht="15" x14ac:dyDescent="0.25">
      <c r="B73" s="9">
        <v>10</v>
      </c>
      <c r="C73" s="387" t="s">
        <v>151</v>
      </c>
      <c r="D73" s="388"/>
      <c r="E73" s="388"/>
      <c r="F73" s="388"/>
      <c r="G73" s="388"/>
      <c r="H73" s="388"/>
      <c r="I73" s="388"/>
      <c r="J73" s="389"/>
      <c r="K73" s="187"/>
    </row>
    <row r="74" spans="2:12" ht="15" x14ac:dyDescent="0.25">
      <c r="B74" s="84" t="s">
        <v>152</v>
      </c>
      <c r="C74" s="85" t="s">
        <v>186</v>
      </c>
      <c r="D74" s="85" t="str">
        <f>VLOOKUP(B74,'MEMÓRIA DE CÁLCULO'!B:H,2,)</f>
        <v xml:space="preserve">250102 </v>
      </c>
      <c r="E74" s="114" t="str">
        <f>VLOOKUP(B74,'MEMÓRIA DE CÁLCULO'!B:H,3,)</f>
        <v>MESTRE DE OBRA - (OBRAS CIVIS)</v>
      </c>
      <c r="F74" s="87" t="s">
        <v>155</v>
      </c>
      <c r="G74" s="87">
        <f>VLOOKUP(B74,'MEMÓRIA DE CÁLCULO'!B:H,7,)</f>
        <v>278.64</v>
      </c>
      <c r="H74" s="115"/>
      <c r="I74" s="115"/>
      <c r="J74" s="116">
        <f>(I74+H74)*G74</f>
        <v>0</v>
      </c>
      <c r="K74" s="187" t="e">
        <f>(J74*100%)/$J$86</f>
        <v>#DIV/0!</v>
      </c>
    </row>
    <row r="75" spans="2:12" ht="15" x14ac:dyDescent="0.25">
      <c r="B75" s="13"/>
      <c r="D75" s="96"/>
      <c r="E75" s="96"/>
      <c r="F75" s="96"/>
      <c r="G75" s="96"/>
      <c r="H75" s="96"/>
      <c r="I75" s="96"/>
      <c r="J75" s="97"/>
      <c r="K75" s="187"/>
    </row>
    <row r="76" spans="2:12" ht="15" x14ac:dyDescent="0.25">
      <c r="B76" s="381" t="s">
        <v>159</v>
      </c>
      <c r="C76" s="382"/>
      <c r="D76" s="382"/>
      <c r="E76" s="382"/>
      <c r="F76" s="382"/>
      <c r="G76" s="382"/>
      <c r="H76" s="382"/>
      <c r="I76" s="382"/>
      <c r="J76" s="23">
        <f>SUM(J78:J78)</f>
        <v>0</v>
      </c>
      <c r="K76" s="187"/>
      <c r="L76" s="18"/>
    </row>
    <row r="77" spans="2:12" ht="15" x14ac:dyDescent="0.25">
      <c r="B77" s="9">
        <v>11</v>
      </c>
      <c r="C77" s="387" t="s">
        <v>161</v>
      </c>
      <c r="D77" s="388"/>
      <c r="E77" s="388"/>
      <c r="F77" s="388"/>
      <c r="G77" s="388"/>
      <c r="H77" s="388"/>
      <c r="I77" s="388"/>
      <c r="J77" s="389"/>
      <c r="K77" s="187"/>
    </row>
    <row r="78" spans="2:12" ht="15" x14ac:dyDescent="0.25">
      <c r="B78" s="84" t="s">
        <v>162</v>
      </c>
      <c r="C78" s="85" t="s">
        <v>186</v>
      </c>
      <c r="D78" s="85">
        <f>VLOOKUP(B78,'MEMÓRIA DE CÁLCULO'!B:H,2,)</f>
        <v>261001</v>
      </c>
      <c r="E78" s="114" t="str">
        <f>VLOOKUP(B78,'MEMÓRIA DE CÁLCULO'!B:H,3,)</f>
        <v xml:space="preserve">PINTURA LATEX ACRILICO 2 DEMAOS </v>
      </c>
      <c r="F78" s="87" t="s">
        <v>21</v>
      </c>
      <c r="G78" s="87">
        <f>VLOOKUP(B78,'MEMÓRIA DE CÁLCULO'!B:H,7,)</f>
        <v>1283.5199999999998</v>
      </c>
      <c r="H78" s="115"/>
      <c r="I78" s="115"/>
      <c r="J78" s="117">
        <f>(H78+I78)*G78</f>
        <v>0</v>
      </c>
      <c r="K78" s="187" t="e">
        <f>(J78*100%)/$J$86</f>
        <v>#DIV/0!</v>
      </c>
    </row>
    <row r="79" spans="2:12" ht="15" x14ac:dyDescent="0.25">
      <c r="B79" s="401"/>
      <c r="C79" s="402"/>
      <c r="D79" s="402"/>
      <c r="E79" s="402"/>
      <c r="F79" s="402"/>
      <c r="G79" s="402"/>
      <c r="H79" s="402"/>
      <c r="I79" s="402"/>
      <c r="J79" s="403"/>
      <c r="K79" s="187"/>
    </row>
    <row r="80" spans="2:12" ht="15" x14ac:dyDescent="0.25">
      <c r="B80" s="381" t="s">
        <v>164</v>
      </c>
      <c r="C80" s="382"/>
      <c r="D80" s="382"/>
      <c r="E80" s="382"/>
      <c r="F80" s="382"/>
      <c r="G80" s="382"/>
      <c r="H80" s="382"/>
      <c r="I80" s="382"/>
      <c r="J80" s="23">
        <f>SUM(J82:J83)</f>
        <v>0</v>
      </c>
      <c r="K80" s="187"/>
    </row>
    <row r="81" spans="2:11" ht="15" x14ac:dyDescent="0.25">
      <c r="B81" s="9">
        <v>12</v>
      </c>
      <c r="C81" s="387" t="s">
        <v>166</v>
      </c>
      <c r="D81" s="388"/>
      <c r="E81" s="388"/>
      <c r="F81" s="388"/>
      <c r="G81" s="388"/>
      <c r="H81" s="388"/>
      <c r="I81" s="388"/>
      <c r="J81" s="389"/>
      <c r="K81" s="187"/>
    </row>
    <row r="82" spans="2:11" ht="18" customHeight="1" x14ac:dyDescent="0.25">
      <c r="B82" s="84" t="s">
        <v>167</v>
      </c>
      <c r="C82" s="85" t="s">
        <v>186</v>
      </c>
      <c r="D82" s="85">
        <f>VLOOKUP(B82,'MEMÓRIA DE CÁLCULO'!B:H,2,)</f>
        <v>270501</v>
      </c>
      <c r="E82" s="109" t="str">
        <f>VLOOKUP(B82,'MEMÓRIA DE CÁLCULO'!B:H,3,)</f>
        <v>LIMPEZA FINAL DE OBRA - (OBRAS CIVIS)</v>
      </c>
      <c r="F82" s="87" t="s">
        <v>21</v>
      </c>
      <c r="G82" s="87">
        <f>VLOOKUP(B82,'MEMÓRIA DE CÁLCULO'!B:H,7,)</f>
        <v>229.2</v>
      </c>
      <c r="H82" s="115"/>
      <c r="I82" s="115"/>
      <c r="J82" s="117">
        <f>(I82+H82)*G82</f>
        <v>0</v>
      </c>
      <c r="K82" s="187" t="e">
        <f>(J82*100%)/$J$86</f>
        <v>#DIV/0!</v>
      </c>
    </row>
    <row r="83" spans="2:11" ht="28.5" x14ac:dyDescent="0.25">
      <c r="B83" s="54" t="s">
        <v>170</v>
      </c>
      <c r="C83" s="39"/>
      <c r="D83" s="39" t="str">
        <f>VLOOKUP(B83,'MEMÓRIA DE CÁLCULO'!B:H,2,)</f>
        <v>COMPOSIÇÃO 1</v>
      </c>
      <c r="E83" s="53" t="str">
        <f>VLOOKUP(B83,'MEMÓRIA DE CÁLCULO'!B:H,3,)</f>
        <v>CONCERTINA CLIPADA (DUPLA) EM ACO GALVANIZADO DE ALTA RESISTENCIA, COM ESPIRAL DE 300 MM, D = 2,76 MM</v>
      </c>
      <c r="F83" s="40" t="s">
        <v>15</v>
      </c>
      <c r="G83" s="87">
        <f>VLOOKUP(B83,'MEMÓRIA DE CÁLCULO'!B:H,7,)</f>
        <v>229.2</v>
      </c>
      <c r="H83" s="52"/>
      <c r="I83" s="52"/>
      <c r="J83" s="60">
        <f>(I83+H83)*G83</f>
        <v>0</v>
      </c>
      <c r="K83" s="334" t="e">
        <f>(J83*100%)/$J$86</f>
        <v>#DIV/0!</v>
      </c>
    </row>
    <row r="84" spans="2:11" x14ac:dyDescent="0.25">
      <c r="B84" s="13"/>
      <c r="D84" s="4"/>
      <c r="E84" s="294"/>
      <c r="H84" s="132"/>
      <c r="I84" s="132"/>
      <c r="J84" s="133"/>
      <c r="K84" s="83"/>
    </row>
    <row r="85" spans="2:11" s="145" customFormat="1" ht="15.6" customHeight="1" x14ac:dyDescent="0.25">
      <c r="B85" s="410" t="s">
        <v>201</v>
      </c>
      <c r="C85" s="411"/>
      <c r="D85" s="411"/>
      <c r="E85" s="411"/>
      <c r="F85" s="411"/>
      <c r="G85" s="411"/>
      <c r="H85" s="411"/>
      <c r="I85" s="411"/>
      <c r="J85" s="412"/>
      <c r="K85" s="415"/>
    </row>
    <row r="86" spans="2:11" s="145" customFormat="1" ht="15.6" customHeight="1" x14ac:dyDescent="0.25">
      <c r="B86" s="1"/>
      <c r="C86" s="239"/>
      <c r="D86" s="240"/>
      <c r="E86" s="241"/>
      <c r="F86" s="242"/>
      <c r="G86" s="242"/>
      <c r="H86" s="243"/>
      <c r="I86" s="244" t="s">
        <v>202</v>
      </c>
      <c r="J86" s="245">
        <f>J9+J15+J19+J24+J32+J47+J57+J61+J65+J72+J76+J80</f>
        <v>0</v>
      </c>
      <c r="K86" s="415"/>
    </row>
    <row r="87" spans="2:11" s="145" customFormat="1" ht="15.6" customHeight="1" x14ac:dyDescent="0.25">
      <c r="B87" s="2"/>
      <c r="C87" s="295"/>
      <c r="D87" s="296"/>
      <c r="E87" s="297"/>
      <c r="F87" s="3"/>
      <c r="G87" s="3"/>
      <c r="H87" s="16"/>
      <c r="I87" s="247" t="s">
        <v>203</v>
      </c>
      <c r="J87" s="246">
        <f>ROUNDUP((J86*0.2388),2)</f>
        <v>0</v>
      </c>
      <c r="K87" s="415"/>
    </row>
    <row r="88" spans="2:11" s="145" customFormat="1" ht="15.6" customHeight="1" x14ac:dyDescent="0.25">
      <c r="B88" s="2"/>
      <c r="C88" s="295"/>
      <c r="D88" s="296"/>
      <c r="E88" s="297"/>
      <c r="F88" s="298"/>
      <c r="G88" s="298"/>
      <c r="H88" s="299"/>
      <c r="I88" s="247" t="s">
        <v>204</v>
      </c>
      <c r="J88" s="248">
        <f>J86+J87</f>
        <v>0</v>
      </c>
      <c r="K88" s="415"/>
    </row>
    <row r="89" spans="2:11" s="145" customFormat="1" ht="16.149999999999999" customHeight="1" thickBot="1" x14ac:dyDescent="0.3">
      <c r="B89" s="249"/>
      <c r="C89" s="250"/>
      <c r="D89" s="251"/>
      <c r="E89" s="252"/>
      <c r="F89" s="253"/>
      <c r="G89" s="253"/>
      <c r="H89" s="254"/>
      <c r="I89" s="255"/>
      <c r="J89" s="300"/>
      <c r="K89" s="415"/>
    </row>
    <row r="90" spans="2:11" s="145" customFormat="1" ht="13.9" customHeight="1" x14ac:dyDescent="0.25">
      <c r="B90" s="256"/>
      <c r="C90" s="257"/>
      <c r="D90" s="258"/>
      <c r="E90" s="259"/>
      <c r="F90" s="260"/>
      <c r="G90" s="257"/>
      <c r="H90" s="261"/>
      <c r="I90" s="262"/>
      <c r="J90" s="263"/>
      <c r="K90" s="415"/>
    </row>
    <row r="91" spans="2:11" s="145" customFormat="1" ht="17.45" customHeight="1" x14ac:dyDescent="0.25">
      <c r="B91" s="2"/>
      <c r="C91" s="4"/>
      <c r="D91" s="301"/>
      <c r="E91" s="301" t="s">
        <v>205</v>
      </c>
      <c r="F91" s="408" t="s">
        <v>173</v>
      </c>
      <c r="G91" s="408"/>
      <c r="H91" s="408"/>
      <c r="I91" s="408"/>
      <c r="J91" s="409"/>
      <c r="K91" s="415"/>
    </row>
    <row r="92" spans="2:11" s="145" customFormat="1" ht="47.25" customHeight="1" x14ac:dyDescent="0.25">
      <c r="B92" s="2"/>
      <c r="C92" s="295"/>
      <c r="D92" s="234"/>
      <c r="E92" s="235"/>
      <c r="F92" s="280"/>
      <c r="G92" s="406"/>
      <c r="H92" s="406"/>
      <c r="I92" s="406"/>
      <c r="J92" s="407"/>
      <c r="K92" s="415"/>
    </row>
    <row r="93" spans="2:11" s="145" customFormat="1" ht="17.45" customHeight="1" x14ac:dyDescent="0.25">
      <c r="B93" s="2"/>
      <c r="C93" s="282"/>
      <c r="D93" s="14"/>
      <c r="E93" s="281" t="s">
        <v>206</v>
      </c>
      <c r="F93" s="302"/>
      <c r="G93" s="404"/>
      <c r="H93" s="404"/>
      <c r="I93" s="404"/>
      <c r="J93" s="405"/>
      <c r="K93" s="415"/>
    </row>
    <row r="94" spans="2:11" ht="15" x14ac:dyDescent="0.25">
      <c r="B94" s="12"/>
      <c r="C94" s="282"/>
      <c r="E94" s="99" t="s">
        <v>207</v>
      </c>
      <c r="F94" s="283"/>
      <c r="G94" s="413" t="s">
        <v>175</v>
      </c>
      <c r="H94" s="413"/>
      <c r="I94" s="413"/>
      <c r="J94" s="414"/>
    </row>
    <row r="95" spans="2:11" ht="15" x14ac:dyDescent="0.25">
      <c r="B95" s="12"/>
      <c r="C95" s="282"/>
      <c r="E95" s="99" t="s">
        <v>208</v>
      </c>
      <c r="F95" s="283"/>
      <c r="G95" s="397" t="s">
        <v>176</v>
      </c>
      <c r="H95" s="397"/>
      <c r="I95" s="397"/>
      <c r="J95" s="398"/>
    </row>
    <row r="96" spans="2:11" ht="15" x14ac:dyDescent="0.25">
      <c r="B96" s="303"/>
      <c r="C96" s="282"/>
      <c r="E96" s="99"/>
      <c r="F96" s="283"/>
      <c r="G96" s="99"/>
      <c r="H96" s="99"/>
      <c r="I96" s="99"/>
      <c r="J96" s="304"/>
    </row>
    <row r="97" spans="2:10" ht="15" thickBot="1" x14ac:dyDescent="0.3">
      <c r="B97" s="163"/>
      <c r="C97" s="305"/>
      <c r="D97" s="306"/>
      <c r="E97" s="307"/>
      <c r="F97" s="308"/>
      <c r="G97" s="308"/>
      <c r="H97" s="309"/>
      <c r="I97" s="309"/>
      <c r="J97" s="310"/>
    </row>
    <row r="98" spans="2:10" x14ac:dyDescent="0.25">
      <c r="D98" s="15"/>
    </row>
    <row r="99" spans="2:10" x14ac:dyDescent="0.25">
      <c r="D99" s="15"/>
    </row>
    <row r="100" spans="2:10" x14ac:dyDescent="0.25">
      <c r="D100" s="15"/>
      <c r="E100" s="11"/>
    </row>
  </sheetData>
  <sheetProtection formatCells="0" formatColumns="0" formatRows="0" insertColumns="0" insertRows="0" insertHyperlinks="0" deleteColumns="0" deleteRows="0" sort="0" autoFilter="0" pivotTables="0"/>
  <mergeCells count="43">
    <mergeCell ref="K85:K93"/>
    <mergeCell ref="B57:I57"/>
    <mergeCell ref="B61:I61"/>
    <mergeCell ref="B47:I47"/>
    <mergeCell ref="C58:J58"/>
    <mergeCell ref="G95:J95"/>
    <mergeCell ref="B72:I72"/>
    <mergeCell ref="B76:I76"/>
    <mergeCell ref="B79:J79"/>
    <mergeCell ref="C77:J77"/>
    <mergeCell ref="C73:J73"/>
    <mergeCell ref="B80:I80"/>
    <mergeCell ref="C81:J81"/>
    <mergeCell ref="G93:J93"/>
    <mergeCell ref="G92:J92"/>
    <mergeCell ref="F91:J91"/>
    <mergeCell ref="B85:J85"/>
    <mergeCell ref="G94:J94"/>
    <mergeCell ref="E5:J5"/>
    <mergeCell ref="C66:J66"/>
    <mergeCell ref="C62:J62"/>
    <mergeCell ref="B65:I65"/>
    <mergeCell ref="C48:J48"/>
    <mergeCell ref="E7:J7"/>
    <mergeCell ref="E6:J6"/>
    <mergeCell ref="C33:J33"/>
    <mergeCell ref="C46:J46"/>
    <mergeCell ref="K1:K5"/>
    <mergeCell ref="B24:I24"/>
    <mergeCell ref="B32:I32"/>
    <mergeCell ref="B23:J23"/>
    <mergeCell ref="B18:J18"/>
    <mergeCell ref="C10:J10"/>
    <mergeCell ref="C16:J16"/>
    <mergeCell ref="C20:J20"/>
    <mergeCell ref="B9:I9"/>
    <mergeCell ref="B19:I19"/>
    <mergeCell ref="B15:I15"/>
    <mergeCell ref="E1:J1"/>
    <mergeCell ref="E2:J2"/>
    <mergeCell ref="E3:J3"/>
    <mergeCell ref="E4:J4"/>
    <mergeCell ref="C25:J25"/>
  </mergeCells>
  <phoneticPr fontId="5" type="noConversion"/>
  <printOptions horizontalCentered="1"/>
  <pageMargins left="0.7" right="0.7" top="0.75" bottom="0.75" header="0.3" footer="0.3"/>
  <pageSetup paperSize="9" scale="58" fitToHeight="0" orientation="landscape" r:id="rId1"/>
  <headerFooter>
    <oddFooter>Página &amp;P de &amp;N</oddFooter>
  </headerFooter>
  <rowBreaks count="1" manualBreakCount="1">
    <brk id="5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MEMÓRIA DE CÁLCULO</vt:lpstr>
      <vt:lpstr>ORÇAMENTO </vt:lpstr>
      <vt:lpstr>'MEMÓRIA DE CÁLCULO'!Area_de_impressao</vt:lpstr>
      <vt:lpstr>'ORÇAMENTO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Drielid Rocha</cp:lastModifiedBy>
  <cp:revision/>
  <cp:lastPrinted>2023-10-20T17:00:01Z</cp:lastPrinted>
  <dcterms:created xsi:type="dcterms:W3CDTF">2017-11-14T15:22:18Z</dcterms:created>
  <dcterms:modified xsi:type="dcterms:W3CDTF">2023-10-20T17:37:25Z</dcterms:modified>
  <cp:category/>
  <cp:contentStatus/>
</cp:coreProperties>
</file>