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53\Obras\PROCESSOS - EM ANÁLISE\Ponte - Ribeirão do Limoeiro\2ª LICITAÇÃO\CD\"/>
    </mc:Choice>
  </mc:AlternateContent>
  <bookViews>
    <workbookView xWindow="0" yWindow="0" windowWidth="28800" windowHeight="12210"/>
  </bookViews>
  <sheets>
    <sheet name="ORÇAMENTO" sheetId="1" r:id="rId1"/>
    <sheet name="MEMORIAL DE CÁLCULO" sheetId="2" r:id="rId2"/>
    <sheet name="CRONOGRAMA" sheetId="3" r:id="rId3"/>
    <sheet name="BDI" sheetId="4" r:id="rId4"/>
  </sheets>
  <externalReferences>
    <externalReference r:id="rId5"/>
  </externalReferences>
  <calcPr calcId="162913"/>
</workbook>
</file>

<file path=xl/calcChain.xml><?xml version="1.0" encoding="utf-8"?>
<calcChain xmlns="http://schemas.openxmlformats.org/spreadsheetml/2006/main">
  <c r="D33" i="3" l="1"/>
  <c r="G42" i="3"/>
  <c r="D42" i="3"/>
  <c r="G21" i="3"/>
  <c r="D21" i="3"/>
  <c r="C42" i="3" l="1"/>
  <c r="C39" i="3"/>
  <c r="C36" i="3"/>
  <c r="C33" i="3"/>
  <c r="C30" i="3"/>
  <c r="C27" i="3"/>
  <c r="C24" i="3"/>
  <c r="C21" i="3"/>
  <c r="M69" i="1"/>
  <c r="M56" i="1"/>
  <c r="M51" i="1"/>
  <c r="M47" i="1"/>
  <c r="M41" i="1"/>
  <c r="M37" i="1"/>
  <c r="M31" i="1"/>
  <c r="E54" i="2"/>
  <c r="M68" i="1"/>
  <c r="M67" i="1"/>
  <c r="M63" i="1"/>
  <c r="M62" i="1"/>
  <c r="M61" i="1"/>
  <c r="M60" i="1"/>
  <c r="M55" i="1"/>
  <c r="M54" i="1"/>
  <c r="M34" i="1"/>
  <c r="M27" i="1"/>
  <c r="M26" i="1"/>
  <c r="M25" i="1"/>
  <c r="M24" i="1"/>
  <c r="M23" i="1"/>
  <c r="M19" i="1"/>
  <c r="M18" i="1"/>
  <c r="M17" i="1"/>
  <c r="M16" i="1"/>
  <c r="M15" i="1"/>
  <c r="E111" i="2" l="1"/>
  <c r="E81" i="2"/>
  <c r="E71" i="2"/>
  <c r="E89" i="2"/>
  <c r="F59" i="1"/>
  <c r="E139" i="2"/>
  <c r="E152" i="2"/>
  <c r="E31" i="2"/>
  <c r="F19" i="1" s="1"/>
  <c r="K19" i="1" s="1"/>
  <c r="E28" i="2"/>
  <c r="F18" i="1" s="1"/>
  <c r="K18" i="1" s="1"/>
  <c r="E14" i="2"/>
  <c r="D13" i="2"/>
  <c r="C13" i="2"/>
  <c r="B13" i="2"/>
  <c r="E15" i="2"/>
  <c r="F14" i="1" s="1"/>
  <c r="K14" i="1" s="1"/>
  <c r="M14" i="1" s="1"/>
  <c r="E122" i="2"/>
  <c r="F50" i="1" s="1"/>
  <c r="E120" i="2"/>
  <c r="D29" i="2"/>
  <c r="C29" i="2"/>
  <c r="B29" i="2"/>
  <c r="D26" i="2"/>
  <c r="C26" i="2"/>
  <c r="B26" i="2"/>
  <c r="E114" i="2"/>
  <c r="E116" i="2" s="1"/>
  <c r="E73" i="2"/>
  <c r="E108" i="2"/>
  <c r="E110" i="2" s="1"/>
  <c r="E105" i="2"/>
  <c r="E104" i="2"/>
  <c r="E107" i="2" s="1"/>
  <c r="E101" i="2"/>
  <c r="E103" i="2" s="1"/>
  <c r="E98" i="2"/>
  <c r="E100" i="2" s="1"/>
  <c r="E94" i="2"/>
  <c r="E93" i="2"/>
  <c r="E77" i="2"/>
  <c r="E78" i="2"/>
  <c r="E74" i="2"/>
  <c r="E65" i="2"/>
  <c r="F34" i="1" s="1"/>
  <c r="K34" i="1" s="1"/>
  <c r="D62" i="2"/>
  <c r="C62" i="2"/>
  <c r="B62" i="2"/>
  <c r="E76" i="2" l="1"/>
  <c r="E80" i="2"/>
  <c r="E96" i="2"/>
  <c r="D162" i="2"/>
  <c r="C162" i="2"/>
  <c r="B162" i="2"/>
  <c r="D158" i="2"/>
  <c r="C158" i="2"/>
  <c r="B158" i="2"/>
  <c r="E165" i="2"/>
  <c r="F68" i="1" s="1"/>
  <c r="K68" i="1" s="1"/>
  <c r="E161" i="2"/>
  <c r="F67" i="1" s="1"/>
  <c r="D72" i="2"/>
  <c r="C72" i="2"/>
  <c r="B72" i="2"/>
  <c r="D23" i="2"/>
  <c r="C23" i="2"/>
  <c r="B23" i="2"/>
  <c r="E25" i="2"/>
  <c r="F17" i="1" s="1"/>
  <c r="K17" i="1" s="1"/>
  <c r="F36" i="1" l="1"/>
  <c r="K36" i="1" s="1"/>
  <c r="M36" i="1" s="1"/>
  <c r="H54" i="1"/>
  <c r="E155" i="2" l="1"/>
  <c r="F63" i="1" s="1"/>
  <c r="K63" i="1" s="1"/>
  <c r="D151" i="2"/>
  <c r="C151" i="2"/>
  <c r="B151" i="2"/>
  <c r="E147" i="2"/>
  <c r="E150" i="2" s="1"/>
  <c r="F62" i="1" s="1"/>
  <c r="K62" i="1" s="1"/>
  <c r="D143" i="2"/>
  <c r="D146" i="2"/>
  <c r="C146" i="2"/>
  <c r="B146" i="2"/>
  <c r="E59" i="2"/>
  <c r="F30" i="1" s="1"/>
  <c r="K30" i="1" s="1"/>
  <c r="M30" i="1" s="1"/>
  <c r="D56" i="2"/>
  <c r="C56" i="2"/>
  <c r="B56" i="2"/>
  <c r="D53" i="2"/>
  <c r="C53" i="2"/>
  <c r="B53" i="2"/>
  <c r="E55" i="2"/>
  <c r="F29" i="1" s="1"/>
  <c r="K29" i="1" s="1"/>
  <c r="B156" i="2"/>
  <c r="C156" i="2"/>
  <c r="B132" i="2"/>
  <c r="C132" i="2"/>
  <c r="B123" i="2"/>
  <c r="C123" i="2"/>
  <c r="B117" i="2"/>
  <c r="C117" i="2"/>
  <c r="B90" i="2"/>
  <c r="C90" i="2"/>
  <c r="B82" i="2"/>
  <c r="C82" i="2"/>
  <c r="B60" i="2"/>
  <c r="C60" i="2"/>
  <c r="B32" i="2"/>
  <c r="C32" i="2"/>
  <c r="B11" i="2"/>
  <c r="C11" i="2"/>
  <c r="M29" i="1" l="1"/>
  <c r="K31" i="1"/>
  <c r="D50" i="2"/>
  <c r="C50" i="2"/>
  <c r="B50" i="2"/>
  <c r="E52" i="2"/>
  <c r="F28" i="1" s="1"/>
  <c r="K28" i="1" s="1"/>
  <c r="M28" i="1" s="1"/>
  <c r="E131" i="2"/>
  <c r="O16" i="4" l="1"/>
  <c r="O15" i="4"/>
  <c r="C8" i="2" l="1"/>
  <c r="D7" i="4"/>
  <c r="B40" i="3" l="1"/>
  <c r="K67" i="1"/>
  <c r="K69" i="1" s="1"/>
  <c r="B19" i="3" l="1"/>
  <c r="E22" i="2"/>
  <c r="F16" i="1" s="1"/>
  <c r="K16" i="1" s="1"/>
  <c r="D20" i="2"/>
  <c r="C20" i="2"/>
  <c r="B20" i="2"/>
  <c r="E19" i="2"/>
  <c r="E37" i="2"/>
  <c r="F23" i="1" s="1"/>
  <c r="K23" i="1" s="1"/>
  <c r="C125" i="2"/>
  <c r="E49" i="2"/>
  <c r="F27" i="1" s="1"/>
  <c r="K27" i="1" s="1"/>
  <c r="D47" i="2"/>
  <c r="C47" i="2"/>
  <c r="B47" i="2"/>
  <c r="E46" i="2"/>
  <c r="F26" i="1" s="1"/>
  <c r="K26" i="1" s="1"/>
  <c r="D44" i="2"/>
  <c r="C44" i="2"/>
  <c r="B44" i="2"/>
  <c r="E43" i="2"/>
  <c r="F25" i="1" s="1"/>
  <c r="K25" i="1" s="1"/>
  <c r="D41" i="2"/>
  <c r="C41" i="2"/>
  <c r="B41" i="2"/>
  <c r="E40" i="2"/>
  <c r="F24" i="1" s="1"/>
  <c r="K24" i="1" s="1"/>
  <c r="C7" i="2"/>
  <c r="D38" i="2"/>
  <c r="C38" i="2"/>
  <c r="B38" i="2"/>
  <c r="D34" i="2"/>
  <c r="C34" i="2"/>
  <c r="B34" i="2"/>
  <c r="C143" i="2" l="1"/>
  <c r="B143" i="2"/>
  <c r="E145" i="2"/>
  <c r="F61" i="1" s="1"/>
  <c r="E142" i="2"/>
  <c r="F60" i="1" s="1"/>
  <c r="D140" i="2"/>
  <c r="C140" i="2"/>
  <c r="B140" i="2"/>
  <c r="K59" i="1"/>
  <c r="K61" i="1"/>
  <c r="K60" i="1"/>
  <c r="M59" i="1" l="1"/>
  <c r="K64" i="1"/>
  <c r="D5" i="3"/>
  <c r="D5" i="4" s="1"/>
  <c r="D6" i="3"/>
  <c r="D6" i="4" s="1"/>
  <c r="D7" i="3"/>
  <c r="D12" i="3"/>
  <c r="D11" i="4" s="1"/>
  <c r="D4" i="3"/>
  <c r="D4" i="4" s="1"/>
  <c r="C6" i="2"/>
  <c r="C9" i="2"/>
  <c r="C5" i="2"/>
  <c r="M64" i="1" l="1"/>
  <c r="C11" i="4"/>
  <c r="C7" i="4"/>
  <c r="C6" i="4"/>
  <c r="C5" i="4"/>
  <c r="C4" i="4"/>
  <c r="D3" i="4"/>
  <c r="C3" i="4"/>
  <c r="B37" i="3"/>
  <c r="B34" i="3"/>
  <c r="B31" i="3"/>
  <c r="B28" i="3"/>
  <c r="B25" i="3"/>
  <c r="B22" i="3"/>
  <c r="B16" i="3"/>
  <c r="A28" i="3"/>
  <c r="A31" i="3" s="1"/>
  <c r="A34" i="3" s="1"/>
  <c r="A37" i="3" s="1"/>
  <c r="A16" i="3"/>
  <c r="C12" i="3"/>
  <c r="C7" i="3"/>
  <c r="C6" i="3"/>
  <c r="C5" i="3"/>
  <c r="C4" i="3"/>
  <c r="D3" i="3"/>
  <c r="C3" i="3"/>
  <c r="D134" i="2" l="1"/>
  <c r="C134" i="2"/>
  <c r="B134" i="2"/>
  <c r="F55" i="1"/>
  <c r="K55" i="1" s="1"/>
  <c r="E127" i="2"/>
  <c r="F54" i="1" s="1"/>
  <c r="K54" i="1" s="1"/>
  <c r="D125" i="2"/>
  <c r="C128" i="2"/>
  <c r="B125" i="2"/>
  <c r="D119" i="2"/>
  <c r="C119" i="2"/>
  <c r="B119" i="2"/>
  <c r="F45" i="1"/>
  <c r="F44" i="1"/>
  <c r="K44" i="1" s="1"/>
  <c r="M44" i="1" s="1"/>
  <c r="F46" i="1"/>
  <c r="D97" i="2"/>
  <c r="D112" i="2"/>
  <c r="D92" i="2"/>
  <c r="C97" i="2"/>
  <c r="C112" i="2"/>
  <c r="C92" i="2"/>
  <c r="B97" i="2"/>
  <c r="B112" i="2"/>
  <c r="B92" i="2"/>
  <c r="E84" i="2"/>
  <c r="F40" i="1"/>
  <c r="D84" i="2"/>
  <c r="C84" i="2"/>
  <c r="B84" i="2"/>
  <c r="F35" i="1"/>
  <c r="D66" i="2"/>
  <c r="C66" i="2"/>
  <c r="B66" i="2"/>
  <c r="F15" i="1"/>
  <c r="K15" i="1" s="1"/>
  <c r="K20" i="1" s="1"/>
  <c r="D16" i="2"/>
  <c r="C16" i="2"/>
  <c r="B16" i="2"/>
  <c r="M20" i="1" l="1"/>
  <c r="C18" i="3" s="1"/>
  <c r="K71" i="1"/>
  <c r="K56" i="1"/>
  <c r="K50" i="1"/>
  <c r="M50" i="1" s="1"/>
  <c r="K45" i="1"/>
  <c r="M45" i="1" s="1"/>
  <c r="K46" i="1"/>
  <c r="M46" i="1" s="1"/>
  <c r="K40" i="1"/>
  <c r="M40" i="1" s="1"/>
  <c r="K35" i="1"/>
  <c r="K37" i="1" s="1"/>
  <c r="M35" i="1" l="1"/>
  <c r="D36" i="3"/>
  <c r="K47" i="1"/>
  <c r="K41" i="1"/>
  <c r="K51" i="1"/>
  <c r="D39" i="3"/>
  <c r="G39" i="3"/>
  <c r="K70" i="1" l="1"/>
  <c r="G18" i="3"/>
  <c r="G46" i="3" s="1"/>
  <c r="D24" i="3"/>
  <c r="D30" i="3"/>
  <c r="D27" i="3"/>
  <c r="G36" i="3"/>
  <c r="G30" i="3"/>
  <c r="G27" i="3" l="1"/>
  <c r="D18" i="3"/>
  <c r="D46" i="3" s="1"/>
  <c r="G24" i="3"/>
  <c r="K72" i="1"/>
  <c r="G33" i="3"/>
  <c r="G47" i="3" l="1"/>
  <c r="D47" i="3"/>
  <c r="C19" i="3" l="1"/>
  <c r="C40" i="3"/>
  <c r="C25" i="3"/>
  <c r="C16" i="3"/>
  <c r="C34" i="3"/>
  <c r="C37" i="3"/>
  <c r="C22" i="3"/>
  <c r="G44" i="3"/>
  <c r="D44" i="3"/>
  <c r="C28" i="3"/>
  <c r="C31" i="3"/>
  <c r="G45" i="3" l="1"/>
  <c r="D45" i="3"/>
</calcChain>
</file>

<file path=xl/sharedStrings.xml><?xml version="1.0" encoding="utf-8"?>
<sst xmlns="http://schemas.openxmlformats.org/spreadsheetml/2006/main" count="615" uniqueCount="267">
  <si>
    <t>PREFEITURA MUNICIPAL DE CATALÃO</t>
  </si>
  <si>
    <t xml:space="preserve">ORÇAMENTO SINTÉTICO </t>
  </si>
  <si>
    <t>SETOR</t>
  </si>
  <si>
    <t>SECRETARIA MUNICIPAL DE OBRAS</t>
  </si>
  <si>
    <t>OBJETO</t>
  </si>
  <si>
    <t>PROCESSO</t>
  </si>
  <si>
    <t>ENDEREÇO</t>
  </si>
  <si>
    <t>TABELAS</t>
  </si>
  <si>
    <t xml:space="preserve">DATA </t>
  </si>
  <si>
    <t>BDI</t>
  </si>
  <si>
    <t>ITEM</t>
  </si>
  <si>
    <t>TABELA</t>
  </si>
  <si>
    <t>CÓD.</t>
  </si>
  <si>
    <t xml:space="preserve">DESCRIÇÃO </t>
  </si>
  <si>
    <t>QUANT.</t>
  </si>
  <si>
    <t>UND.</t>
  </si>
  <si>
    <t xml:space="preserve">MATERIAL </t>
  </si>
  <si>
    <t>MÃO DE OBRA</t>
  </si>
  <si>
    <t xml:space="preserve">TOTAL </t>
  </si>
  <si>
    <t>GOINFRA</t>
  </si>
  <si>
    <t>m2</t>
  </si>
  <si>
    <t>PLACA DE OBRA PLOTADA EM CHAPA METÁLICA 26 , AFIXADA EM CAVALETES DE MADEIRA DE LEI (VIGOTAS 6X12CM) - PADRÃO GOINFRA</t>
  </si>
  <si>
    <t xml:space="preserve">SERVIÇOS PRELIMINARES </t>
  </si>
  <si>
    <t>TOTAL DO GRUPO</t>
  </si>
  <si>
    <t>INFRA-ESTRUTURA</t>
  </si>
  <si>
    <t xml:space="preserve">FORMA CHAPA COMPENSADA RESINADA 12 MM (INCLUSO DESFORMA) </t>
  </si>
  <si>
    <t xml:space="preserve"> m3 </t>
  </si>
  <si>
    <t>CONCRETO FCK=20 MPA</t>
  </si>
  <si>
    <t xml:space="preserve"> TUBULÃO CEU ABERTO (TCA)</t>
  </si>
  <si>
    <t xml:space="preserve">(TCA) EM PEDRA MAT. 2ª CAT. </t>
  </si>
  <si>
    <t>m3</t>
  </si>
  <si>
    <t>MESO-ESTRUTURA</t>
  </si>
  <si>
    <t xml:space="preserve"> Kg </t>
  </si>
  <si>
    <t>CONCRETO FCK=30 MPA COM ADITIVO</t>
  </si>
  <si>
    <t>ESCORAMENTO</t>
  </si>
  <si>
    <t xml:space="preserve">ESCORAMENTO PARA PONTE </t>
  </si>
  <si>
    <t xml:space="preserve">m3 </t>
  </si>
  <si>
    <t>SUPER-ESTRUTURA</t>
  </si>
  <si>
    <t>SERVIÇOS COMPLEMENTARES</t>
  </si>
  <si>
    <t>NEOPRENE</t>
  </si>
  <si>
    <t xml:space="preserve"> Kg</t>
  </si>
  <si>
    <t xml:space="preserve">Total </t>
  </si>
  <si>
    <t>und</t>
  </si>
  <si>
    <t>COTAÇÃO</t>
  </si>
  <si>
    <t>MEMORIAL DE CÁLCULO</t>
  </si>
  <si>
    <t>DESCRIÇÃO</t>
  </si>
  <si>
    <t>UNID.</t>
  </si>
  <si>
    <t>MEMÓRIA CÁLCULO</t>
  </si>
  <si>
    <t>1.2</t>
  </si>
  <si>
    <t>2.1</t>
  </si>
  <si>
    <t>3.1</t>
  </si>
  <si>
    <t>4.1</t>
  </si>
  <si>
    <t>5.1</t>
  </si>
  <si>
    <t>6.1</t>
  </si>
  <si>
    <t>7.1</t>
  </si>
  <si>
    <t xml:space="preserve">Área </t>
  </si>
  <si>
    <t xml:space="preserve">Largura </t>
  </si>
  <si>
    <t xml:space="preserve">Comprimento </t>
  </si>
  <si>
    <t xml:space="preserve">Altura </t>
  </si>
  <si>
    <t xml:space="preserve">Volume </t>
  </si>
  <si>
    <t xml:space="preserve">Diametro </t>
  </si>
  <si>
    <t xml:space="preserve">Formula </t>
  </si>
  <si>
    <t>3,14*r2*h</t>
  </si>
  <si>
    <t>Quantidade</t>
  </si>
  <si>
    <t>Volume</t>
  </si>
  <si>
    <t xml:space="preserve">Forma - transversina </t>
  </si>
  <si>
    <t>Peso</t>
  </si>
  <si>
    <t xml:space="preserve">Quantidade </t>
  </si>
  <si>
    <t xml:space="preserve">Vigas </t>
  </si>
  <si>
    <t>CRONOGRAMA FÍSICO-FINANCEIRO</t>
  </si>
  <si>
    <t>DURAÇÃO</t>
  </si>
  <si>
    <t>PERCENTUAL GLOBAL MENSAL</t>
  </si>
  <si>
    <t>PERCENTUAL GLOBAL ACUMULADO</t>
  </si>
  <si>
    <t>VALOR MENSAL</t>
  </si>
  <si>
    <t>VALOR ACUMULADO</t>
  </si>
  <si>
    <t>_________________________________________</t>
  </si>
  <si>
    <t xml:space="preserve">LEONARDO MARTINS DE CASTRO TEIXEIRA </t>
  </si>
  <si>
    <t>SECRETÁRIO MUNICIPAL DE OBRAS</t>
  </si>
  <si>
    <t>CREA 7455/D-GO</t>
  </si>
  <si>
    <t xml:space="preserve">1 MÊS </t>
  </si>
  <si>
    <t>2 MÊS</t>
  </si>
  <si>
    <t>COMPOSIÇÃO BDI (BENEFÍCIOS E DISPESAS INDIRETAS)</t>
  </si>
  <si>
    <t xml:space="preserve">OBELISCO PARA PLACA DE INAUGURAÇÃO - PADRÃO GOINFRA </t>
  </si>
  <si>
    <t xml:space="preserve">Un </t>
  </si>
  <si>
    <t>Placa de inauguração</t>
  </si>
  <si>
    <t>Obelisco</t>
  </si>
  <si>
    <t>PLACA DE INAUGURACAO ACO ESCOVADO 80 X 60 CM</t>
  </si>
  <si>
    <t>AÇO CA50/60 AQUISIÇÃO, ARMAÇÃO E COLOCAÇÃO (INCLUSO PERDAS) - MESOESTRUTURA</t>
  </si>
  <si>
    <t>und.</t>
  </si>
  <si>
    <t>TRANSPORTE</t>
  </si>
  <si>
    <t xml:space="preserve">tkm </t>
  </si>
  <si>
    <t xml:space="preserve">un </t>
  </si>
  <si>
    <t>MOBILIZAÇÃO DO CANTEIRO DE OBRAS - INCLUSIVE CARGA E DESCARGA E A HORA IMPRODUTIVA DO CAMINHÃO - ( EXCLUSO O TRANSPORTE )</t>
  </si>
  <si>
    <t>DESMOBILIZAÇÃO DO CANTEIRO DE OBRAS - INCLUSIVE CARGA E DESCARGA E A HORA IMPRODUTIVA DO CAMINHÃO - ( EXCLUSO O TRANSPORTE )</t>
  </si>
  <si>
    <t>CARGA DOS MATERIAIS/EQUIPAMENTOS/OUTROS ( INCLUSO HORA IMPRODUTIVA DO CAMINHÃO)</t>
  </si>
  <si>
    <t>2.2</t>
  </si>
  <si>
    <t>2.3</t>
  </si>
  <si>
    <t>2.4</t>
  </si>
  <si>
    <t>2.5</t>
  </si>
  <si>
    <t>5.2</t>
  </si>
  <si>
    <t>5.3</t>
  </si>
  <si>
    <t>8.1</t>
  </si>
  <si>
    <t>8.2</t>
  </si>
  <si>
    <t>8.3</t>
  </si>
  <si>
    <t>Tonelada x KM</t>
  </si>
  <si>
    <t>Distância</t>
  </si>
  <si>
    <t>Unidade</t>
  </si>
  <si>
    <t xml:space="preserve">Carga de materiais </t>
  </si>
  <si>
    <t xml:space="preserve">Descarga de materiais </t>
  </si>
  <si>
    <t xml:space="preserve">Mobilização </t>
  </si>
  <si>
    <t>Desmobilização</t>
  </si>
  <si>
    <t xml:space="preserve">VIGAS PRE MOLDADAS DE 8M </t>
  </si>
  <si>
    <t>Materiais e equipamentos</t>
  </si>
  <si>
    <t xml:space="preserve">Tempo de obra </t>
  </si>
  <si>
    <t>SEINFRA</t>
  </si>
  <si>
    <t>2.6</t>
  </si>
  <si>
    <t>hr</t>
  </si>
  <si>
    <t>7.2</t>
  </si>
  <si>
    <t>ADMINISTRAÇÃO</t>
  </si>
  <si>
    <t>ENGENHEIRO - (OBRAS CIVIS)</t>
  </si>
  <si>
    <t>9.1</t>
  </si>
  <si>
    <t>C0375</t>
  </si>
  <si>
    <t>ACÓRDÃO 2.622/2013 – TCU – PLENÁRIO / PORTARIA 449/2015 PR-AGETOP</t>
  </si>
  <si>
    <t>3,00%</t>
  </si>
  <si>
    <t>6,16%</t>
  </si>
  <si>
    <t>0,12%</t>
  </si>
  <si>
    <t>0,97%</t>
  </si>
  <si>
    <t>2,40%</t>
  </si>
  <si>
    <t>0,65%</t>
  </si>
  <si>
    <t>4,50%</t>
  </si>
  <si>
    <t>0,37%</t>
  </si>
  <si>
    <t>Onde:</t>
  </si>
  <si>
    <t>AC = taxa de administração central</t>
  </si>
  <si>
    <t>S = taxa de seguros</t>
  </si>
  <si>
    <t>R = taxa de riscos</t>
  </si>
  <si>
    <t>G = Taxa de garantias</t>
  </si>
  <si>
    <t>DF = taxa de despesas financeiras</t>
  </si>
  <si>
    <t>I = taxa de incidência de impostos (PIS, COFINS, CPRB e ISS)</t>
  </si>
  <si>
    <t>23,99%</t>
  </si>
  <si>
    <r>
      <rPr>
        <b/>
        <vertAlign val="superscript"/>
        <sz val="12"/>
        <color theme="1"/>
        <rFont val="Arial Narrow"/>
        <family val="2"/>
      </rPr>
      <t>(1)</t>
    </r>
    <r>
      <rPr>
        <sz val="12"/>
        <color theme="1"/>
        <rFont val="Arial Narrow"/>
        <family val="2"/>
      </rPr>
      <t xml:space="preserve"> Valores definidos a partir dos limites no Acórdão nº 2.622/2013 - TCU – Plenário. Valores 1° quartil.</t>
    </r>
  </si>
  <si>
    <r>
      <rPr>
        <b/>
        <vertAlign val="superscript"/>
        <sz val="12"/>
        <color theme="1"/>
        <rFont val="Arial Narrow"/>
        <family val="2"/>
      </rPr>
      <t>(2)</t>
    </r>
    <r>
      <rPr>
        <sz val="12"/>
        <color theme="1"/>
        <rFont val="Arial Narrow"/>
        <family val="2"/>
      </rPr>
      <t xml:space="preserve"> Valores definidos a partir dos limites definidos no Acórdão nº 2.622/2013 - TCU – Plenário.  Valores 1° quartil.</t>
    </r>
  </si>
  <si>
    <r>
      <rPr>
        <b/>
        <vertAlign val="superscript"/>
        <sz val="12"/>
        <color theme="1"/>
        <rFont val="Arial Narrow"/>
        <family val="2"/>
      </rPr>
      <t>(3)</t>
    </r>
    <r>
      <rPr>
        <sz val="12"/>
        <color theme="1"/>
        <rFont val="Arial Narrow"/>
        <family val="2"/>
      </rPr>
      <t xml:space="preserve"> Valor calculado pela expressão matemática do acórdão 2.369/2011 – TCU – Plenário. (Foi utilizado para o cálculo a média da Taxa SELIC no período de 01/2021 a 12/2021).</t>
    </r>
  </si>
  <si>
    <r>
      <rPr>
        <b/>
        <vertAlign val="superscript"/>
        <sz val="12"/>
        <color theme="1"/>
        <rFont val="Arial Narrow"/>
        <family val="2"/>
      </rPr>
      <t>(4)</t>
    </r>
    <r>
      <rPr>
        <sz val="12"/>
        <color theme="1"/>
        <rFont val="Arial Narrow"/>
        <family val="2"/>
      </rPr>
      <t xml:space="preserve"> Valores definidos a partir dos limites no Acórdão nº2.622/2013 - TCU – Plenário. Valores médios. (Seguros contra erros de execução, incêndio e explosão, danos danos da natureza (vendaval, destelhamento, alagamento, inundação, desmoronamento, geadas etc.), emprego de material defeituoso ou inadequado, roubo e/ou furto qualificado, quebra de equipamentos, desmoronamento de estrutura, nas modalidades de Obras Civis em Construção (OCC); Instalação e Montagem (IM); e Obras Civis em Construção e Instalação e Montagem (OCC/IM). Bem como coberturas adicionais para ampliação dessas coberturas básicas, como: cobertura de responsabilidade civil geral, cobertura de responsabilidade civil cruzada, cobertura de despesas extraordinárias, cobertura de tumultos, cobertura de desentulho do local, cobertura de riscos do fabricante, dentre outras, incluindo o seguro de vida em grupo regido pela convenção coletiva dos trabalhadores na indústria da construção civil). Apartir de 24/02/2015 por intermédio da Portaria 449/2015 a Presidência desta casa, na pessoa do Senhor Jayme Eduardo Rincon, determinou a exclusão dos valores referentes aos Seguros de Risco de Engenharia e Responsabilidade Civil do Profissional na composição do cálculo do B.D.I..</t>
    </r>
  </si>
  <si>
    <r>
      <rPr>
        <b/>
        <vertAlign val="superscript"/>
        <sz val="12"/>
        <color theme="1"/>
        <rFont val="Arial Narrow"/>
        <family val="2"/>
      </rPr>
      <t>(5)</t>
    </r>
    <r>
      <rPr>
        <sz val="12"/>
        <color theme="1"/>
        <rFont val="Arial Narrow"/>
        <family val="2"/>
      </rPr>
      <t xml:space="preserve"> Valores definidos a partir dos limites no Acórdão nº 2.622/2013 - TCU – Plenário. Valores 1º quartil.</t>
    </r>
  </si>
  <si>
    <r>
      <rPr>
        <b/>
        <vertAlign val="superscript"/>
        <sz val="12"/>
        <color theme="1"/>
        <rFont val="Arial Narrow"/>
        <family val="2"/>
      </rPr>
      <t>(6)</t>
    </r>
    <r>
      <rPr>
        <sz val="12"/>
        <color theme="1"/>
        <rFont val="Arial Narrow"/>
        <family val="2"/>
      </rPr>
      <t xml:space="preserve"> Alíquota e base de cálculo definida pela legislação municipal, Lei 3.952 de 16 de dezembro de 2021.</t>
    </r>
  </si>
  <si>
    <r>
      <rPr>
        <b/>
        <vertAlign val="superscript"/>
        <sz val="12"/>
        <color theme="1"/>
        <rFont val="Arial Narrow"/>
        <family val="2"/>
      </rPr>
      <t>(7)</t>
    </r>
    <r>
      <rPr>
        <sz val="12"/>
        <color theme="1"/>
        <rFont val="Arial Narrow"/>
        <family val="2"/>
      </rPr>
      <t xml:space="preserve"> Alíquota definida por lei (lucro presumido).</t>
    </r>
  </si>
  <si>
    <r>
      <rPr>
        <b/>
        <vertAlign val="superscript"/>
        <sz val="12"/>
        <color theme="1"/>
        <rFont val="Arial Narrow"/>
        <family val="2"/>
      </rPr>
      <t>(8)</t>
    </r>
    <r>
      <rPr>
        <sz val="12"/>
        <color theme="1"/>
        <rFont val="Arial Narrow"/>
        <family val="2"/>
      </rPr>
      <t xml:space="preserve"> Alíquota definida pelas leis 12.546/11, 12844/13 e 13.161/15 (CPRB – contribuição previdenciária sobre a receita bruta). Neste caso ela vai ser zerada, pois estes valores de BDI são para orçamentos onerados (INSS=20% nas leis sociais)</t>
    </r>
  </si>
  <si>
    <r>
      <rPr>
        <b/>
        <vertAlign val="superscript"/>
        <sz val="12"/>
        <color theme="1"/>
        <rFont val="Arial Narrow"/>
        <family val="2"/>
      </rPr>
      <t>(*)</t>
    </r>
    <r>
      <rPr>
        <sz val="12"/>
        <color theme="1"/>
        <rFont val="Arial Narrow"/>
        <family val="2"/>
      </rPr>
      <t xml:space="preserve"> A fórmula para estipulação da taxa de BDI estimado adotado é a mesma que foi aplicada para aobtenção das tabelas contidas no Acórdão n.2.622/2013 – TCU - Plenário.</t>
    </r>
  </si>
  <si>
    <t>L = taxa de lucro/remuneração</t>
  </si>
  <si>
    <r>
      <t xml:space="preserve">Administração Central </t>
    </r>
    <r>
      <rPr>
        <b/>
        <vertAlign val="superscript"/>
        <sz val="14"/>
        <rFont val="Arial Narrow"/>
        <family val="2"/>
      </rPr>
      <t>(1)</t>
    </r>
  </si>
  <si>
    <r>
      <t xml:space="preserve">Lucro </t>
    </r>
    <r>
      <rPr>
        <b/>
        <vertAlign val="superscript"/>
        <sz val="14"/>
        <rFont val="Arial Narrow"/>
        <family val="2"/>
      </rPr>
      <t>(2)</t>
    </r>
  </si>
  <si>
    <r>
      <t xml:space="preserve">Despesas financeiras </t>
    </r>
    <r>
      <rPr>
        <b/>
        <vertAlign val="superscript"/>
        <sz val="14"/>
        <rFont val="Arial Narrow"/>
        <family val="2"/>
      </rPr>
      <t>(3)</t>
    </r>
  </si>
  <si>
    <r>
      <t xml:space="preserve">Seguros + garantias </t>
    </r>
    <r>
      <rPr>
        <b/>
        <vertAlign val="superscript"/>
        <sz val="14"/>
        <rFont val="Arial Narrow"/>
        <family val="2"/>
      </rPr>
      <t>(4)</t>
    </r>
  </si>
  <si>
    <r>
      <t xml:space="preserve">Riscos </t>
    </r>
    <r>
      <rPr>
        <b/>
        <vertAlign val="superscript"/>
        <sz val="14"/>
        <rFont val="Arial Narrow"/>
        <family val="2"/>
      </rPr>
      <t>(5)</t>
    </r>
  </si>
  <si>
    <r>
      <t xml:space="preserve">ISS </t>
    </r>
    <r>
      <rPr>
        <b/>
        <vertAlign val="superscript"/>
        <sz val="14"/>
        <rFont val="Arial Narrow"/>
        <family val="2"/>
      </rPr>
      <t>(6)</t>
    </r>
  </si>
  <si>
    <r>
      <t xml:space="preserve">PIS </t>
    </r>
    <r>
      <rPr>
        <b/>
        <vertAlign val="superscript"/>
        <sz val="14"/>
        <rFont val="Arial Narrow"/>
        <family val="2"/>
      </rPr>
      <t>(7)</t>
    </r>
  </si>
  <si>
    <r>
      <t xml:space="preserve">COFINS </t>
    </r>
    <r>
      <rPr>
        <b/>
        <vertAlign val="superscript"/>
        <sz val="14"/>
        <rFont val="Arial Narrow"/>
        <family val="2"/>
      </rPr>
      <t>(8)</t>
    </r>
  </si>
  <si>
    <r>
      <t xml:space="preserve">CPRB </t>
    </r>
    <r>
      <rPr>
        <b/>
        <vertAlign val="superscript"/>
        <sz val="14"/>
        <rFont val="Arial Narrow"/>
        <family val="2"/>
      </rPr>
      <t>(9)</t>
    </r>
  </si>
  <si>
    <r>
      <t xml:space="preserve">Resultado </t>
    </r>
    <r>
      <rPr>
        <b/>
        <vertAlign val="superscript"/>
        <sz val="14"/>
        <rFont val="Arial Narrow"/>
        <family val="2"/>
      </rPr>
      <t>(*)</t>
    </r>
  </si>
  <si>
    <t>TRANSPORTE DE MATERIAIS/EQUIPAMENTOS/OUTROS ( INCLUSIVE OS DA MOBILIZAÇÃO E DESMOBILIZAÇÃO ) - CAMINHÃO CARROCERIA MADEIRA 15 T (INCLUSO NO VALOR O RETORNO )</t>
  </si>
  <si>
    <t>DESCARGA DOS MATERIAIS/EQUIPAMENTOS/OUTROS ( INCLUSO HORA IMPRODUTIVA DO CAMINHÃO)</t>
  </si>
  <si>
    <t>LOCACAO DE CONTAINER 2,30 X 6,00 M, ALT. 2,50 M, COM 1 SANITARIO, PARA ESCRITORIO, COMPLETO, SEM DIVISORIAS INTERNAS (NAO INCLUI MOBILIZACAO/DESMOBILIZACAO)</t>
  </si>
  <si>
    <t>SINAPI - I</t>
  </si>
  <si>
    <t>TOTAL COM BDI</t>
  </si>
  <si>
    <t>BDI (23,99%)</t>
  </si>
  <si>
    <t>m</t>
  </si>
  <si>
    <t>mês</t>
  </si>
  <si>
    <t>1.1</t>
  </si>
  <si>
    <t>2.7</t>
  </si>
  <si>
    <t>GOINFRA - R</t>
  </si>
  <si>
    <t>GUINDASTE 30 T - MÍNIMO 10H/DIA</t>
  </si>
  <si>
    <t>PONTE PRÉ MOLDADA - RIBEIRÃO DO LIMOEIRO - GO 440</t>
  </si>
  <si>
    <t>RIBEIRÃO DO LIMOEIRO - GO 440</t>
  </si>
  <si>
    <t>Içamento das vigas pré-moldadas</t>
  </si>
  <si>
    <t>20 DE JUNHO 2022</t>
  </si>
  <si>
    <t>Kg</t>
  </si>
  <si>
    <t>-</t>
  </si>
  <si>
    <t>t</t>
  </si>
  <si>
    <t>km</t>
  </si>
  <si>
    <t>BARREIRA DE CONCRETO (NEW JERSEY) SIMPLES</t>
  </si>
  <si>
    <t>2.8</t>
  </si>
  <si>
    <t>TRANSPORTE DE GUINDASTE 30 T - KM RODADO</t>
  </si>
  <si>
    <t>Km</t>
  </si>
  <si>
    <t>TRANSPORTE DE PRÉ MOLDADOS EM CAMINHÃO PRANCHA 3 EIXOS - CAP. 30 T</t>
  </si>
  <si>
    <t>Peso total</t>
  </si>
  <si>
    <t>8.4</t>
  </si>
  <si>
    <t>8.5</t>
  </si>
  <si>
    <t>Área a ser reaterrada e compactada (cabeceira)</t>
  </si>
  <si>
    <t>Espessura</t>
  </si>
  <si>
    <t>Quantidade de cabeceira</t>
  </si>
  <si>
    <t>REATERRO COM APILOAMENTO</t>
  </si>
  <si>
    <t>ARGILA OU BARRO PARA ATERRO/REATERRO (COM TRANSPORTE ATE 10 KM)</t>
  </si>
  <si>
    <t>Dias trabalhados</t>
  </si>
  <si>
    <t>dias</t>
  </si>
  <si>
    <t>Horas diárias</t>
  </si>
  <si>
    <r>
      <rPr>
        <b/>
        <sz val="10"/>
        <color theme="1"/>
        <rFont val="Arial Narrow"/>
        <family val="2"/>
      </rPr>
      <t xml:space="preserve">OBSERVAÇÃO: </t>
    </r>
    <r>
      <rPr>
        <sz val="10"/>
        <color theme="1"/>
        <rFont val="Arial Narrow"/>
        <family val="2"/>
      </rPr>
      <t>OS SERVIÇOS PERTENCENTES A TABELA T166 DA GOINFRA RODOVIÁRIA JÁ POSSUEM BDI DE 25,53% INCLUSO NO VALOR FINAL DO SERVIÇO. DESTA FORMA, PARA ESTES SERVIÇOS, NÃO FOI APLICADO O BDI PADRÃO DO MUNICÍPIO DE 23,99%.</t>
    </r>
  </si>
  <si>
    <t>1.3</t>
  </si>
  <si>
    <t>DER-ES</t>
  </si>
  <si>
    <t>ALUGUEL MENSAL CONTAINER P/ ALMOX 6.00X2.40X2.40M</t>
  </si>
  <si>
    <t>ms</t>
  </si>
  <si>
    <t>Escritório e refeitório</t>
  </si>
  <si>
    <t>3.2</t>
  </si>
  <si>
    <t>AÇO CA50/60 AQUISIÇÃO, ARMAÇÃO E COLOCAÇÃO (INCLUSO PERDAS) - INFRAESTRUTURA</t>
  </si>
  <si>
    <t>9.2</t>
  </si>
  <si>
    <t>ENCARREGADO - (OBRAS CIVIS)</t>
  </si>
  <si>
    <t>3.3</t>
  </si>
  <si>
    <t>ESTACA A TRADO DIAM.25 CM SEM FERRO</t>
  </si>
  <si>
    <t>Profundidade</t>
  </si>
  <si>
    <t>Profundidade x Quantidade</t>
  </si>
  <si>
    <t>Aço 8.00mm - estacas</t>
  </si>
  <si>
    <t>Aço 5.00mm - estacas</t>
  </si>
  <si>
    <t>Aço 8.00mm - tubulão</t>
  </si>
  <si>
    <t>Aço 5.00mm - tubulão</t>
  </si>
  <si>
    <t>Peso especifico aço 8.00mm</t>
  </si>
  <si>
    <t>Peso especifico aço 5.00mm</t>
  </si>
  <si>
    <t>Kg/m</t>
  </si>
  <si>
    <t>Subtotal</t>
  </si>
  <si>
    <t>Aço 6.30mm - ala</t>
  </si>
  <si>
    <t>Peso especifico aço 6.30mm</t>
  </si>
  <si>
    <t>Aço 10.00mm - ala</t>
  </si>
  <si>
    <t>Peso especifico aço 10.00mm</t>
  </si>
  <si>
    <t>Transversina 12.50mm - transversina</t>
  </si>
  <si>
    <t>Aço 10.00mm - transversina</t>
  </si>
  <si>
    <t>Aço 8.00mm - transversina</t>
  </si>
  <si>
    <t>Forma - ala</t>
  </si>
  <si>
    <t>Total</t>
  </si>
  <si>
    <t>Transversina</t>
  </si>
  <si>
    <t>Ala</t>
  </si>
  <si>
    <t>1.4</t>
  </si>
  <si>
    <t>1.5</t>
  </si>
  <si>
    <t>Área da ponte</t>
  </si>
  <si>
    <t>1.6</t>
  </si>
  <si>
    <t>Altura suérficie</t>
  </si>
  <si>
    <t>SINAPI</t>
  </si>
  <si>
    <t>LOCACAO CONVENCIONAL DE OBRA, UTILIZANDO GABARITO DE TÁBUAS CORRIDAS PONTALETADAS A CADA 2,00M - 2 UTILIZAÇÕES. AF_10/2018</t>
  </si>
  <si>
    <t>Perímetro</t>
  </si>
  <si>
    <t>Ponte 8 x 5 metros + afastamento de 1,50 metros</t>
  </si>
  <si>
    <t>LIGAÇÃO PROVISÓRIA DE ÁGUA ( INCLUSO RETIRADA DO ESGOTO SANITÁRIO) - PD.
GOINFRA</t>
  </si>
  <si>
    <t>LIGAÇÃO PROVISÓRIA LUZ E FORÇA - PD. GOINFRA</t>
  </si>
  <si>
    <t>un</t>
  </si>
  <si>
    <t>Material para reaterro de cabeceiras  - com 30% de empolamento</t>
  </si>
  <si>
    <t>Material para conformação dos taludes - com 30% de empolamento</t>
  </si>
  <si>
    <t>Volume de 1 peça</t>
  </si>
  <si>
    <t>cm3</t>
  </si>
  <si>
    <t>Peso Específico</t>
  </si>
  <si>
    <t>g/cm3</t>
  </si>
  <si>
    <t>Quantidade de vigas</t>
  </si>
  <si>
    <t>Lados</t>
  </si>
  <si>
    <t>BDI 1: 23,99% / BDI 2: 0,00%</t>
  </si>
  <si>
    <t>BDI 1</t>
  </si>
  <si>
    <t>BDI 2</t>
  </si>
  <si>
    <t>BDI1</t>
  </si>
  <si>
    <t>Distância (ida e volta)</t>
  </si>
  <si>
    <t xml:space="preserve">                                                      _________________________________________</t>
  </si>
  <si>
    <t xml:space="preserve">                                                      LEONARDO MARTINS DE CASTRO TEIXEIRA </t>
  </si>
  <si>
    <t xml:space="preserve">                                                  SECRETÁRIO MUNICIPAL DE OBRAS</t>
  </si>
  <si>
    <t>ENGENHEIRO CIVIL</t>
  </si>
  <si>
    <t>IGOR CESAR N. MARQUES</t>
  </si>
  <si>
    <t xml:space="preserve"> LEONARDO MARTINS DE CASTRO TEIXEIRA                                                                                IGOR CESAR N. MARQUES</t>
  </si>
  <si>
    <t xml:space="preserve">               _______________________________________                                                    ________________________________________</t>
  </si>
  <si>
    <t xml:space="preserve">              ECRETÁRIO DE OBRAS                                                                                                            ENGENHEIRO CIVIL</t>
  </si>
  <si>
    <t xml:space="preserve">                                                                  _________________________________________</t>
  </si>
  <si>
    <t xml:space="preserve">                                                                   IGOR CESAR N. MARQUES</t>
  </si>
  <si>
    <t xml:space="preserve">                                                                   ENGENHEIRO CIVIL</t>
  </si>
  <si>
    <t>TABELA DE TERRAPLENAGEM, PAVIMENTAÇÃO E OBRAS DE ARTE ESPECIAIS - GOINFRA T166 - COM DESONERAÇÃO - DATA BASE: 01/04/2022                                                                                                                                                                                  TABELA CUSTO DE OBRAS CIVIS - GOINFRA 171 - COM DESONERAÇÃO - DATA BASE: 01/05/2022                                                                                                                                                            TABELA SINAPI PCI 817.01 - DESONERADA - DATA BASE:15/06/2022                                                                                                                                                                                      TABELA SEINFRA VERSÃO 027                                                                                                                                                                                                                                                                                         TABELA DER-ES - 1211704 - ABRIL/2022</t>
  </si>
  <si>
    <t>_____________________________________________</t>
  </si>
  <si>
    <t>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</si>
</sst>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* #,##0.00_);_(* \(#,##0.00\);_(* \-??_);_(@_)"/>
    <numFmt numFmtId="166" formatCode="&quot;R$&quot;\ #,##0.00"/>
    <numFmt numFmtId="167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charset val="204"/>
    </font>
    <font>
      <b/>
      <sz val="11"/>
      <name val="Arial Narrow"/>
      <family val="2"/>
    </font>
    <font>
      <sz val="8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  <font>
      <sz val="11"/>
      <color theme="0" tint="-0.34998626667073579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2"/>
      <color theme="1"/>
      <name val="Arial Narrow"/>
      <family val="2"/>
    </font>
    <font>
      <b/>
      <sz val="16"/>
      <color theme="1"/>
      <name val="Arial Narrow"/>
      <family val="2"/>
    </font>
    <font>
      <sz val="12"/>
      <color theme="1"/>
      <name val="Arial Narrow"/>
      <family val="2"/>
    </font>
    <font>
      <b/>
      <vertAlign val="superscript"/>
      <sz val="12"/>
      <color theme="1"/>
      <name val="Arial Narrow"/>
      <family val="2"/>
    </font>
    <font>
      <b/>
      <sz val="14"/>
      <name val="Arial Narrow"/>
      <family val="2"/>
    </font>
    <font>
      <b/>
      <vertAlign val="superscript"/>
      <sz val="14"/>
      <name val="Arial Narrow"/>
      <family val="2"/>
    </font>
    <font>
      <sz val="16"/>
      <name val="Arial Narrow"/>
      <family val="2"/>
    </font>
    <font>
      <b/>
      <sz val="16"/>
      <name val="Arial Narrow"/>
      <family val="2"/>
    </font>
    <font>
      <sz val="11"/>
      <name val="Arial Narrow"/>
      <family val="2"/>
    </font>
    <font>
      <b/>
      <sz val="10"/>
      <color theme="0"/>
      <name val="Arial Narrow"/>
      <family val="2"/>
    </font>
    <font>
      <sz val="11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1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3" fillId="0" borderId="0"/>
    <xf numFmtId="165" fontId="3" fillId="0" borderId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5">
    <xf numFmtId="0" fontId="0" fillId="0" borderId="0" xfId="0"/>
    <xf numFmtId="0" fontId="7" fillId="0" borderId="1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9" fillId="0" borderId="0" xfId="0" applyFont="1"/>
    <xf numFmtId="0" fontId="7" fillId="0" borderId="4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/>
    </xf>
    <xf numFmtId="2" fontId="8" fillId="0" borderId="0" xfId="0" applyNumberFormat="1" applyFont="1" applyBorder="1" applyAlignment="1" applyProtection="1">
      <alignment horizontal="center" vertical="center"/>
    </xf>
    <xf numFmtId="166" fontId="8" fillId="0" borderId="0" xfId="0" applyNumberFormat="1" applyFont="1" applyBorder="1" applyAlignment="1" applyProtection="1">
      <alignment horizontal="center" vertical="center"/>
    </xf>
    <xf numFmtId="166" fontId="8" fillId="0" borderId="5" xfId="0" applyNumberFormat="1" applyFont="1" applyBorder="1" applyAlignment="1" applyProtection="1">
      <alignment horizontal="center" vertical="center"/>
    </xf>
    <xf numFmtId="2" fontId="7" fillId="0" borderId="0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166" fontId="7" fillId="0" borderId="0" xfId="1" applyNumberFormat="1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9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2" fontId="7" fillId="0" borderId="10" xfId="0" applyNumberFormat="1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8" fillId="4" borderId="18" xfId="0" applyFont="1" applyFill="1" applyBorder="1" applyAlignment="1" applyProtection="1">
      <alignment horizontal="center" vertical="center"/>
    </xf>
    <xf numFmtId="166" fontId="10" fillId="0" borderId="0" xfId="0" applyNumberFormat="1" applyFont="1" applyProtection="1"/>
    <xf numFmtId="0" fontId="7" fillId="0" borderId="0" xfId="0" applyFont="1"/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166" fontId="9" fillId="0" borderId="0" xfId="0" applyNumberFormat="1" applyFont="1" applyBorder="1"/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/>
    <xf numFmtId="2" fontId="7" fillId="0" borderId="0" xfId="0" applyNumberFormat="1" applyFont="1" applyAlignment="1">
      <alignment horizontal="center"/>
    </xf>
    <xf numFmtId="2" fontId="8" fillId="0" borderId="15" xfId="0" applyNumberFormat="1" applyFont="1" applyBorder="1" applyAlignment="1" applyProtection="1">
      <alignment horizontal="center"/>
    </xf>
    <xf numFmtId="2" fontId="8" fillId="0" borderId="16" xfId="0" applyNumberFormat="1" applyFont="1" applyBorder="1" applyAlignment="1" applyProtection="1">
      <alignment horizontal="center"/>
    </xf>
    <xf numFmtId="0" fontId="7" fillId="0" borderId="0" xfId="0" applyFont="1" applyBorder="1" applyAlignment="1" applyProtection="1">
      <alignment wrapText="1"/>
    </xf>
    <xf numFmtId="2" fontId="8" fillId="0" borderId="16" xfId="0" applyNumberFormat="1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left" vertical="center"/>
    </xf>
    <xf numFmtId="0" fontId="7" fillId="0" borderId="10" xfId="0" applyFont="1" applyBorder="1" applyAlignment="1" applyProtection="1">
      <alignment wrapText="1"/>
    </xf>
    <xf numFmtId="0" fontId="8" fillId="0" borderId="10" xfId="0" applyFont="1" applyBorder="1" applyAlignment="1" applyProtection="1">
      <alignment horizontal="center" vertical="center"/>
    </xf>
    <xf numFmtId="2" fontId="8" fillId="0" borderId="17" xfId="0" applyNumberFormat="1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/>
    </xf>
    <xf numFmtId="0" fontId="8" fillId="0" borderId="10" xfId="0" applyFont="1" applyBorder="1" applyAlignment="1" applyProtection="1">
      <alignment wrapText="1"/>
    </xf>
    <xf numFmtId="2" fontId="8" fillId="0" borderId="10" xfId="0" applyNumberFormat="1" applyFont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wrapText="1"/>
    </xf>
    <xf numFmtId="0" fontId="9" fillId="0" borderId="1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5" xfId="0" applyFont="1" applyBorder="1"/>
    <xf numFmtId="0" fontId="11" fillId="0" borderId="0" xfId="0" applyFont="1" applyBorder="1"/>
    <xf numFmtId="0" fontId="9" fillId="0" borderId="0" xfId="0" applyFont="1" applyBorder="1" applyAlignment="1">
      <alignment horizontal="left"/>
    </xf>
    <xf numFmtId="0" fontId="9" fillId="0" borderId="9" xfId="0" applyFont="1" applyBorder="1"/>
    <xf numFmtId="0" fontId="9" fillId="0" borderId="11" xfId="0" applyFont="1" applyBorder="1"/>
    <xf numFmtId="0" fontId="11" fillId="0" borderId="10" xfId="0" applyFont="1" applyBorder="1"/>
    <xf numFmtId="0" fontId="9" fillId="0" borderId="10" xfId="0" applyFont="1" applyBorder="1"/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10" fontId="9" fillId="0" borderId="25" xfId="13" applyNumberFormat="1" applyFont="1" applyBorder="1" applyAlignment="1">
      <alignment horizontal="center"/>
    </xf>
    <xf numFmtId="44" fontId="9" fillId="0" borderId="26" xfId="1" applyFont="1" applyFill="1" applyBorder="1"/>
    <xf numFmtId="44" fontId="11" fillId="0" borderId="27" xfId="1" applyFont="1" applyBorder="1"/>
    <xf numFmtId="44" fontId="11" fillId="0" borderId="26" xfId="1" applyFont="1" applyBorder="1"/>
    <xf numFmtId="44" fontId="9" fillId="0" borderId="26" xfId="1" applyFont="1" applyBorder="1"/>
    <xf numFmtId="44" fontId="9" fillId="0" borderId="0" xfId="0" applyNumberFormat="1" applyFont="1"/>
    <xf numFmtId="0" fontId="9" fillId="0" borderId="26" xfId="0" applyFont="1" applyBorder="1"/>
    <xf numFmtId="0" fontId="11" fillId="0" borderId="2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66" fontId="9" fillId="0" borderId="0" xfId="0" applyNumberFormat="1" applyFont="1" applyBorder="1" applyAlignment="1">
      <alignment horizontal="center"/>
    </xf>
    <xf numFmtId="166" fontId="8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6" fontId="7" fillId="0" borderId="10" xfId="0" applyNumberFormat="1" applyFont="1" applyBorder="1" applyAlignment="1" applyProtection="1">
      <alignment horizontal="center" vertical="center"/>
    </xf>
    <xf numFmtId="166" fontId="8" fillId="0" borderId="10" xfId="0" applyNumberFormat="1" applyFont="1" applyBorder="1" applyAlignment="1" applyProtection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9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left"/>
    </xf>
    <xf numFmtId="0" fontId="8" fillId="0" borderId="9" xfId="0" applyFont="1" applyBorder="1" applyAlignment="1" applyProtection="1">
      <alignment horizontal="left"/>
    </xf>
    <xf numFmtId="0" fontId="7" fillId="0" borderId="2" xfId="0" applyFont="1" applyBorder="1" applyAlignment="1" applyProtection="1">
      <alignment horizontal="center" vertical="center"/>
    </xf>
    <xf numFmtId="10" fontId="7" fillId="0" borderId="2" xfId="0" applyNumberFormat="1" applyFont="1" applyBorder="1" applyAlignment="1" applyProtection="1">
      <alignment horizontal="left" vertical="center"/>
    </xf>
    <xf numFmtId="2" fontId="7" fillId="0" borderId="2" xfId="0" applyNumberFormat="1" applyFont="1" applyBorder="1" applyAlignment="1" applyProtection="1">
      <alignment horizontal="center" vertical="center"/>
    </xf>
    <xf numFmtId="166" fontId="7" fillId="0" borderId="2" xfId="0" applyNumberFormat="1" applyFont="1" applyBorder="1" applyAlignment="1" applyProtection="1">
      <alignment horizontal="center" vertical="center"/>
    </xf>
    <xf numFmtId="166" fontId="8" fillId="0" borderId="2" xfId="0" applyNumberFormat="1" applyFont="1" applyBorder="1" applyAlignment="1" applyProtection="1">
      <alignment horizontal="center" vertical="center"/>
    </xf>
    <xf numFmtId="0" fontId="8" fillId="2" borderId="26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center" vertical="center"/>
    </xf>
    <xf numFmtId="0" fontId="8" fillId="2" borderId="26" xfId="0" applyFont="1" applyFill="1" applyBorder="1" applyAlignment="1" applyProtection="1">
      <alignment horizontal="left" vertical="center" wrapText="1"/>
    </xf>
    <xf numFmtId="2" fontId="8" fillId="2" borderId="26" xfId="0" applyNumberFormat="1" applyFont="1" applyFill="1" applyBorder="1" applyAlignment="1" applyProtection="1">
      <alignment horizontal="center" vertical="center"/>
    </xf>
    <xf numFmtId="166" fontId="8" fillId="2" borderId="26" xfId="1" applyNumberFormat="1" applyFont="1" applyFill="1" applyBorder="1" applyAlignment="1" applyProtection="1">
      <alignment horizontal="center" vertical="center"/>
    </xf>
    <xf numFmtId="0" fontId="8" fillId="2" borderId="43" xfId="0" applyFont="1" applyFill="1" applyBorder="1" applyAlignment="1" applyProtection="1">
      <alignment horizontal="center" vertical="center"/>
    </xf>
    <xf numFmtId="0" fontId="8" fillId="2" borderId="44" xfId="0" applyFont="1" applyFill="1" applyBorder="1" applyAlignment="1" applyProtection="1">
      <alignment horizontal="center" vertical="center"/>
    </xf>
    <xf numFmtId="0" fontId="8" fillId="2" borderId="45" xfId="0" applyFont="1" applyFill="1" applyBorder="1" applyAlignment="1" applyProtection="1">
      <alignment horizontal="center" vertical="center"/>
    </xf>
    <xf numFmtId="0" fontId="8" fillId="2" borderId="46" xfId="0" applyFont="1" applyFill="1" applyBorder="1" applyAlignment="1" applyProtection="1">
      <alignment horizontal="left" vertical="center" wrapText="1"/>
    </xf>
    <xf numFmtId="2" fontId="8" fillId="2" borderId="46" xfId="0" applyNumberFormat="1" applyFont="1" applyFill="1" applyBorder="1" applyAlignment="1" applyProtection="1">
      <alignment horizontal="center" vertical="center"/>
    </xf>
    <xf numFmtId="0" fontId="8" fillId="2" borderId="46" xfId="0" applyFont="1" applyFill="1" applyBorder="1" applyAlignment="1" applyProtection="1">
      <alignment horizontal="center" vertical="center"/>
    </xf>
    <xf numFmtId="166" fontId="8" fillId="2" borderId="46" xfId="1" applyNumberFormat="1" applyFont="1" applyFill="1" applyBorder="1" applyAlignment="1" applyProtection="1">
      <alignment horizontal="center" vertical="center"/>
    </xf>
    <xf numFmtId="166" fontId="8" fillId="2" borderId="47" xfId="1" applyNumberFormat="1" applyFont="1" applyFill="1" applyBorder="1" applyAlignment="1" applyProtection="1">
      <alignment horizontal="center" vertical="center"/>
    </xf>
    <xf numFmtId="0" fontId="8" fillId="4" borderId="33" xfId="0" applyFont="1" applyFill="1" applyBorder="1" applyAlignment="1" applyProtection="1">
      <alignment horizontal="center" vertical="center"/>
    </xf>
    <xf numFmtId="166" fontId="8" fillId="3" borderId="34" xfId="0" applyNumberFormat="1" applyFont="1" applyFill="1" applyBorder="1" applyAlignment="1" applyProtection="1">
      <alignment horizontal="center" vertical="center"/>
    </xf>
    <xf numFmtId="0" fontId="8" fillId="2" borderId="48" xfId="0" applyFont="1" applyFill="1" applyBorder="1" applyAlignment="1" applyProtection="1">
      <alignment horizontal="center" vertical="center"/>
    </xf>
    <xf numFmtId="166" fontId="8" fillId="2" borderId="49" xfId="1" applyNumberFormat="1" applyFont="1" applyFill="1" applyBorder="1" applyAlignment="1" applyProtection="1">
      <alignment horizontal="center" vertical="center"/>
    </xf>
    <xf numFmtId="0" fontId="8" fillId="4" borderId="40" xfId="0" applyFont="1" applyFill="1" applyBorder="1" applyAlignment="1" applyProtection="1">
      <alignment horizontal="center" vertical="center"/>
    </xf>
    <xf numFmtId="166" fontId="8" fillId="3" borderId="50" xfId="0" applyNumberFormat="1" applyFont="1" applyFill="1" applyBorder="1" applyAlignment="1" applyProtection="1">
      <alignment horizontal="center" vertical="center"/>
    </xf>
    <xf numFmtId="166" fontId="8" fillId="3" borderId="53" xfId="0" applyNumberFormat="1" applyFont="1" applyFill="1" applyBorder="1" applyAlignment="1" applyProtection="1">
      <alignment horizontal="center" vertical="center"/>
    </xf>
    <xf numFmtId="166" fontId="7" fillId="0" borderId="32" xfId="0" applyNumberFormat="1" applyFont="1" applyBorder="1" applyAlignment="1">
      <alignment horizontal="center" vertical="center"/>
    </xf>
    <xf numFmtId="166" fontId="7" fillId="0" borderId="54" xfId="0" applyNumberFormat="1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2" fontId="7" fillId="0" borderId="61" xfId="0" applyNumberFormat="1" applyFont="1" applyBorder="1" applyAlignment="1">
      <alignment horizontal="center" vertical="center"/>
    </xf>
    <xf numFmtId="2" fontId="7" fillId="0" borderId="55" xfId="0" applyNumberFormat="1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1" xfId="0" applyFont="1" applyBorder="1" applyAlignment="1">
      <alignment wrapText="1"/>
    </xf>
    <xf numFmtId="0" fontId="7" fillId="0" borderId="57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7" xfId="0" applyFont="1" applyBorder="1" applyAlignment="1">
      <alignment wrapText="1"/>
    </xf>
    <xf numFmtId="2" fontId="7" fillId="0" borderId="67" xfId="0" applyNumberFormat="1" applyFont="1" applyBorder="1" applyAlignment="1">
      <alignment horizontal="center" vertical="center"/>
    </xf>
    <xf numFmtId="166" fontId="7" fillId="0" borderId="64" xfId="0" applyNumberFormat="1" applyFont="1" applyBorder="1" applyAlignment="1">
      <alignment horizontal="center" vertical="center"/>
    </xf>
    <xf numFmtId="0" fontId="7" fillId="0" borderId="57" xfId="0" applyFont="1" applyBorder="1" applyAlignment="1">
      <alignment wrapText="1"/>
    </xf>
    <xf numFmtId="2" fontId="7" fillId="0" borderId="57" xfId="0" applyNumberFormat="1" applyFont="1" applyBorder="1" applyAlignment="1">
      <alignment horizontal="center" vertical="center"/>
    </xf>
    <xf numFmtId="166" fontId="7" fillId="0" borderId="70" xfId="0" applyNumberFormat="1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71" xfId="0" applyFont="1" applyBorder="1" applyAlignment="1">
      <alignment wrapText="1"/>
    </xf>
    <xf numFmtId="2" fontId="7" fillId="0" borderId="71" xfId="0" applyNumberFormat="1" applyFont="1" applyBorder="1" applyAlignment="1">
      <alignment horizontal="center" vertical="center"/>
    </xf>
    <xf numFmtId="166" fontId="7" fillId="0" borderId="72" xfId="0" applyNumberFormat="1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73" xfId="0" applyFont="1" applyBorder="1" applyAlignment="1">
      <alignment wrapText="1"/>
    </xf>
    <xf numFmtId="2" fontId="7" fillId="0" borderId="73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166" fontId="7" fillId="0" borderId="77" xfId="0" applyNumberFormat="1" applyFont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 vertical="center"/>
    </xf>
    <xf numFmtId="0" fontId="7" fillId="0" borderId="66" xfId="0" applyFont="1" applyBorder="1"/>
    <xf numFmtId="0" fontId="7" fillId="0" borderId="68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57" xfId="0" applyFont="1" applyBorder="1"/>
    <xf numFmtId="0" fontId="7" fillId="0" borderId="67" xfId="0" applyFont="1" applyBorder="1"/>
    <xf numFmtId="2" fontId="7" fillId="0" borderId="68" xfId="0" applyNumberFormat="1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55" xfId="0" applyFont="1" applyBorder="1"/>
    <xf numFmtId="0" fontId="7" fillId="0" borderId="61" xfId="0" applyFont="1" applyBorder="1"/>
    <xf numFmtId="0" fontId="7" fillId="0" borderId="58" xfId="0" applyFont="1" applyBorder="1" applyAlignment="1">
      <alignment horizontal="center" vertical="center"/>
    </xf>
    <xf numFmtId="0" fontId="7" fillId="0" borderId="71" xfId="0" applyFont="1" applyBorder="1"/>
    <xf numFmtId="166" fontId="7" fillId="0" borderId="84" xfId="0" applyNumberFormat="1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75" xfId="0" applyFont="1" applyBorder="1" applyAlignment="1">
      <alignment wrapText="1"/>
    </xf>
    <xf numFmtId="2" fontId="7" fillId="0" borderId="75" xfId="0" applyNumberFormat="1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166" fontId="8" fillId="2" borderId="45" xfId="1" applyNumberFormat="1" applyFont="1" applyFill="1" applyBorder="1" applyAlignment="1" applyProtection="1">
      <alignment horizontal="center" vertical="center"/>
    </xf>
    <xf numFmtId="166" fontId="8" fillId="2" borderId="28" xfId="1" applyNumberFormat="1" applyFont="1" applyFill="1" applyBorder="1" applyAlignment="1" applyProtection="1">
      <alignment horizontal="center" vertical="center"/>
    </xf>
    <xf numFmtId="10" fontId="7" fillId="0" borderId="57" xfId="13" applyNumberFormat="1" applyFont="1" applyBorder="1" applyAlignment="1">
      <alignment horizontal="center" vertical="center"/>
    </xf>
    <xf numFmtId="10" fontId="7" fillId="0" borderId="58" xfId="13" applyNumberFormat="1" applyFont="1" applyBorder="1" applyAlignment="1">
      <alignment horizontal="center" vertical="center"/>
    </xf>
    <xf numFmtId="10" fontId="7" fillId="0" borderId="71" xfId="13" applyNumberFormat="1" applyFont="1" applyBorder="1" applyAlignment="1">
      <alignment horizontal="center" vertical="center"/>
    </xf>
    <xf numFmtId="10" fontId="7" fillId="0" borderId="67" xfId="13" applyNumberFormat="1" applyFont="1" applyBorder="1" applyAlignment="1">
      <alignment horizontal="center" vertical="center"/>
    </xf>
    <xf numFmtId="10" fontId="7" fillId="0" borderId="74" xfId="13" applyNumberFormat="1" applyFont="1" applyBorder="1" applyAlignment="1">
      <alignment horizontal="center" vertical="center"/>
    </xf>
    <xf numFmtId="10" fontId="7" fillId="0" borderId="87" xfId="13" applyNumberFormat="1" applyFont="1" applyBorder="1" applyAlignment="1">
      <alignment horizontal="center" vertical="center"/>
    </xf>
    <xf numFmtId="10" fontId="7" fillId="0" borderId="73" xfId="13" applyNumberFormat="1" applyFont="1" applyBorder="1" applyAlignment="1">
      <alignment horizontal="center" vertical="center"/>
    </xf>
    <xf numFmtId="10" fontId="7" fillId="0" borderId="20" xfId="13" applyNumberFormat="1" applyFont="1" applyBorder="1" applyAlignment="1">
      <alignment horizontal="center" vertical="center"/>
    </xf>
    <xf numFmtId="10" fontId="7" fillId="0" borderId="88" xfId="13" applyNumberFormat="1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 wrapText="1"/>
    </xf>
    <xf numFmtId="166" fontId="9" fillId="0" borderId="0" xfId="0" applyNumberFormat="1" applyFont="1" applyAlignment="1">
      <alignment horizontal="center" vertical="center"/>
    </xf>
    <xf numFmtId="166" fontId="10" fillId="0" borderId="0" xfId="0" applyNumberFormat="1" applyFont="1" applyAlignment="1" applyProtection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166" fontId="5" fillId="0" borderId="0" xfId="0" applyNumberFormat="1" applyFont="1" applyAlignment="1" applyProtection="1">
      <alignment horizontal="center" vertical="center"/>
    </xf>
    <xf numFmtId="166" fontId="21" fillId="0" borderId="0" xfId="0" applyNumberFormat="1" applyFont="1" applyAlignment="1" applyProtection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6" fontId="8" fillId="3" borderId="5" xfId="0" applyNumberFormat="1" applyFont="1" applyFill="1" applyBorder="1" applyAlignment="1" applyProtection="1">
      <alignment horizontal="center" vertical="center"/>
    </xf>
    <xf numFmtId="0" fontId="7" fillId="0" borderId="74" xfId="0" applyFont="1" applyBorder="1" applyAlignment="1">
      <alignment horizontal="center" vertical="center"/>
    </xf>
    <xf numFmtId="2" fontId="8" fillId="4" borderId="34" xfId="0" applyNumberFormat="1" applyFont="1" applyFill="1" applyBorder="1" applyAlignment="1">
      <alignment horizontal="center"/>
    </xf>
    <xf numFmtId="2" fontId="8" fillId="4" borderId="37" xfId="0" applyNumberFormat="1" applyFont="1" applyFill="1" applyBorder="1" applyAlignment="1">
      <alignment horizontal="center"/>
    </xf>
    <xf numFmtId="0" fontId="8" fillId="2" borderId="22" xfId="0" applyFont="1" applyFill="1" applyBorder="1" applyAlignment="1"/>
    <xf numFmtId="0" fontId="8" fillId="2" borderId="89" xfId="0" applyFont="1" applyFill="1" applyBorder="1" applyAlignment="1"/>
    <xf numFmtId="0" fontId="8" fillId="2" borderId="19" xfId="0" applyFont="1" applyFill="1" applyBorder="1" applyAlignment="1"/>
    <xf numFmtId="0" fontId="8" fillId="2" borderId="20" xfId="0" applyFont="1" applyFill="1" applyBorder="1" applyAlignment="1"/>
    <xf numFmtId="0" fontId="8" fillId="2" borderId="50" xfId="0" applyFont="1" applyFill="1" applyBorder="1" applyAlignment="1"/>
    <xf numFmtId="0" fontId="8" fillId="2" borderId="40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2" fontId="7" fillId="0" borderId="72" xfId="0" applyNumberFormat="1" applyFont="1" applyBorder="1" applyAlignment="1">
      <alignment horizontal="center"/>
    </xf>
    <xf numFmtId="2" fontId="7" fillId="0" borderId="32" xfId="0" applyNumberFormat="1" applyFont="1" applyBorder="1" applyAlignment="1">
      <alignment horizontal="center"/>
    </xf>
    <xf numFmtId="0" fontId="7" fillId="0" borderId="82" xfId="0" applyFont="1" applyBorder="1" applyAlignment="1">
      <alignment horizontal="center"/>
    </xf>
    <xf numFmtId="0" fontId="7" fillId="0" borderId="55" xfId="0" applyFont="1" applyBorder="1" applyAlignment="1">
      <alignment horizontal="center"/>
    </xf>
    <xf numFmtId="0" fontId="7" fillId="0" borderId="82" xfId="0" applyFont="1" applyBorder="1" applyAlignment="1">
      <alignment wrapText="1"/>
    </xf>
    <xf numFmtId="0" fontId="7" fillId="0" borderId="55" xfId="0" applyFont="1" applyBorder="1" applyAlignment="1">
      <alignment wrapText="1"/>
    </xf>
    <xf numFmtId="0" fontId="7" fillId="0" borderId="70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64" xfId="0" applyFont="1" applyBorder="1" applyAlignment="1">
      <alignment horizontal="center" vertical="center"/>
    </xf>
    <xf numFmtId="0" fontId="8" fillId="0" borderId="61" xfId="0" applyFont="1" applyBorder="1" applyAlignment="1">
      <alignment vertical="center" wrapText="1"/>
    </xf>
    <xf numFmtId="0" fontId="8" fillId="0" borderId="61" xfId="0" applyFont="1" applyBorder="1" applyAlignment="1">
      <alignment horizontal="center" vertical="center"/>
    </xf>
    <xf numFmtId="2" fontId="8" fillId="0" borderId="54" xfId="0" applyNumberFormat="1" applyFont="1" applyBorder="1" applyAlignment="1">
      <alignment horizontal="center" vertical="center"/>
    </xf>
    <xf numFmtId="0" fontId="8" fillId="0" borderId="27" xfId="0" applyFont="1" applyFill="1" applyBorder="1" applyAlignment="1" applyProtection="1">
      <alignment horizontal="center" vertical="center" wrapText="1"/>
    </xf>
    <xf numFmtId="0" fontId="8" fillId="0" borderId="27" xfId="0" applyFont="1" applyFill="1" applyBorder="1" applyAlignment="1" applyProtection="1">
      <alignment horizontal="center" vertical="center"/>
    </xf>
    <xf numFmtId="2" fontId="8" fillId="0" borderId="39" xfId="0" applyNumberFormat="1" applyFont="1" applyFill="1" applyBorder="1" applyAlignment="1" applyProtection="1">
      <alignment horizontal="center" vertical="center"/>
    </xf>
    <xf numFmtId="0" fontId="8" fillId="0" borderId="38" xfId="0" applyFont="1" applyFill="1" applyBorder="1" applyAlignment="1" applyProtection="1">
      <alignment horizontal="center" vertical="center"/>
    </xf>
    <xf numFmtId="0" fontId="7" fillId="0" borderId="71" xfId="0" applyFont="1" applyBorder="1" applyAlignment="1">
      <alignment horizontal="center"/>
    </xf>
    <xf numFmtId="0" fontId="8" fillId="0" borderId="57" xfId="0" applyFont="1" applyBorder="1" applyAlignment="1">
      <alignment vertical="center" wrapText="1"/>
    </xf>
    <xf numFmtId="0" fontId="8" fillId="0" borderId="57" xfId="0" applyFont="1" applyBorder="1" applyAlignment="1">
      <alignment horizontal="center" vertical="center"/>
    </xf>
    <xf numFmtId="0" fontId="11" fillId="0" borderId="0" xfId="0" applyFont="1"/>
    <xf numFmtId="0" fontId="8" fillId="0" borderId="33" xfId="0" applyFont="1" applyBorder="1" applyAlignment="1">
      <alignment horizontal="center" vertical="center"/>
    </xf>
    <xf numFmtId="0" fontId="8" fillId="0" borderId="18" xfId="0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/>
    </xf>
    <xf numFmtId="2" fontId="8" fillId="0" borderId="34" xfId="0" applyNumberFormat="1" applyFont="1" applyBorder="1" applyAlignment="1">
      <alignment horizontal="center" vertical="center"/>
    </xf>
    <xf numFmtId="2" fontId="7" fillId="0" borderId="50" xfId="0" applyNumberFormat="1" applyFont="1" applyBorder="1" applyAlignment="1">
      <alignment horizontal="center"/>
    </xf>
    <xf numFmtId="0" fontId="7" fillId="0" borderId="86" xfId="0" applyFont="1" applyBorder="1" applyAlignment="1">
      <alignment horizontal="center"/>
    </xf>
    <xf numFmtId="2" fontId="7" fillId="0" borderId="84" xfId="0" applyNumberFormat="1" applyFont="1" applyBorder="1" applyAlignment="1">
      <alignment horizontal="center"/>
    </xf>
    <xf numFmtId="0" fontId="7" fillId="0" borderId="75" xfId="0" applyFont="1" applyBorder="1" applyAlignment="1">
      <alignment horizontal="center"/>
    </xf>
    <xf numFmtId="0" fontId="7" fillId="0" borderId="66" xfId="0" applyFont="1" applyBorder="1" applyAlignment="1">
      <alignment horizontal="center"/>
    </xf>
    <xf numFmtId="0" fontId="7" fillId="0" borderId="73" xfId="0" applyFont="1" applyBorder="1" applyAlignment="1">
      <alignment horizontal="center"/>
    </xf>
    <xf numFmtId="0" fontId="7" fillId="0" borderId="24" xfId="0" applyFont="1" applyBorder="1" applyAlignment="1">
      <alignment wrapText="1"/>
    </xf>
    <xf numFmtId="0" fontId="7" fillId="0" borderId="58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66" xfId="0" applyFont="1" applyBorder="1" applyAlignment="1">
      <alignment wrapText="1"/>
    </xf>
    <xf numFmtId="0" fontId="8" fillId="0" borderId="93" xfId="0" applyFont="1" applyBorder="1" applyAlignment="1">
      <alignment horizontal="center" vertical="center"/>
    </xf>
    <xf numFmtId="0" fontId="7" fillId="0" borderId="58" xfId="0" applyFont="1" applyBorder="1" applyAlignment="1">
      <alignment wrapText="1"/>
    </xf>
    <xf numFmtId="0" fontId="8" fillId="0" borderId="64" xfId="0" applyFont="1" applyBorder="1" applyAlignment="1">
      <alignment horizontal="center"/>
    </xf>
    <xf numFmtId="0" fontId="8" fillId="0" borderId="57" xfId="0" applyFont="1" applyBorder="1" applyAlignment="1">
      <alignment wrapText="1"/>
    </xf>
    <xf numFmtId="0" fontId="8" fillId="0" borderId="61" xfId="0" applyFont="1" applyBorder="1" applyAlignment="1">
      <alignment horizontal="center"/>
    </xf>
    <xf numFmtId="2" fontId="8" fillId="0" borderId="54" xfId="0" applyNumberFormat="1" applyFont="1" applyBorder="1" applyAlignment="1">
      <alignment horizontal="center"/>
    </xf>
    <xf numFmtId="2" fontId="8" fillId="0" borderId="50" xfId="0" applyNumberFormat="1" applyFont="1" applyFill="1" applyBorder="1" applyAlignment="1" applyProtection="1">
      <alignment horizontal="center" vertical="center"/>
    </xf>
    <xf numFmtId="0" fontId="8" fillId="0" borderId="40" xfId="0" applyFont="1" applyFill="1" applyBorder="1" applyAlignment="1" applyProtection="1">
      <alignment horizontal="center" vertical="center"/>
    </xf>
    <xf numFmtId="0" fontId="8" fillId="0" borderId="61" xfId="0" applyFont="1" applyBorder="1" applyAlignment="1">
      <alignment wrapText="1"/>
    </xf>
    <xf numFmtId="0" fontId="8" fillId="0" borderId="57" xfId="0" applyFont="1" applyBorder="1" applyAlignment="1">
      <alignment horizontal="center"/>
    </xf>
    <xf numFmtId="0" fontId="8" fillId="0" borderId="86" xfId="0" applyFont="1" applyBorder="1" applyAlignment="1">
      <alignment horizontal="center"/>
    </xf>
    <xf numFmtId="0" fontId="8" fillId="0" borderId="75" xfId="0" applyFont="1" applyBorder="1" applyAlignment="1">
      <alignment wrapText="1"/>
    </xf>
    <xf numFmtId="0" fontId="8" fillId="0" borderId="73" xfId="0" applyFont="1" applyBorder="1" applyAlignment="1">
      <alignment horizontal="center"/>
    </xf>
    <xf numFmtId="2" fontId="8" fillId="0" borderId="84" xfId="0" applyNumberFormat="1" applyFont="1" applyBorder="1" applyAlignment="1">
      <alignment horizontal="center"/>
    </xf>
    <xf numFmtId="0" fontId="8" fillId="0" borderId="70" xfId="0" applyFont="1" applyBorder="1" applyAlignment="1">
      <alignment horizontal="center"/>
    </xf>
    <xf numFmtId="0" fontId="8" fillId="0" borderId="71" xfId="0" applyFont="1" applyBorder="1" applyAlignment="1">
      <alignment wrapText="1"/>
    </xf>
    <xf numFmtId="0" fontId="8" fillId="0" borderId="82" xfId="0" applyFont="1" applyBorder="1" applyAlignment="1">
      <alignment horizontal="center"/>
    </xf>
    <xf numFmtId="2" fontId="8" fillId="0" borderId="72" xfId="0" applyNumberFormat="1" applyFont="1" applyBorder="1" applyAlignment="1">
      <alignment horizontal="center"/>
    </xf>
    <xf numFmtId="0" fontId="8" fillId="0" borderId="61" xfId="0" applyFont="1" applyBorder="1"/>
    <xf numFmtId="0" fontId="8" fillId="0" borderId="57" xfId="0" applyFont="1" applyBorder="1"/>
    <xf numFmtId="0" fontId="8" fillId="0" borderId="82" xfId="0" applyFont="1" applyBorder="1" applyAlignment="1">
      <alignment wrapText="1"/>
    </xf>
    <xf numFmtId="0" fontId="7" fillId="0" borderId="71" xfId="0" applyFont="1" applyBorder="1" applyAlignment="1">
      <alignment horizontal="center" vertical="center" wrapText="1"/>
    </xf>
    <xf numFmtId="0" fontId="7" fillId="0" borderId="75" xfId="0" applyFont="1" applyBorder="1" applyAlignment="1">
      <alignment vertical="center" wrapText="1"/>
    </xf>
    <xf numFmtId="2" fontId="7" fillId="0" borderId="84" xfId="0" applyNumberFormat="1" applyFont="1" applyBorder="1" applyAlignment="1">
      <alignment horizontal="center" vertical="center"/>
    </xf>
    <xf numFmtId="0" fontId="7" fillId="0" borderId="73" xfId="0" applyFont="1" applyBorder="1"/>
    <xf numFmtId="0" fontId="7" fillId="0" borderId="94" xfId="0" applyFont="1" applyBorder="1" applyAlignment="1">
      <alignment horizontal="center"/>
    </xf>
    <xf numFmtId="0" fontId="7" fillId="0" borderId="97" xfId="0" applyFont="1" applyBorder="1" applyAlignment="1">
      <alignment horizontal="center"/>
    </xf>
    <xf numFmtId="2" fontId="7" fillId="0" borderId="98" xfId="0" applyNumberFormat="1" applyFont="1" applyBorder="1" applyAlignment="1">
      <alignment horizontal="center"/>
    </xf>
    <xf numFmtId="0" fontId="7" fillId="0" borderId="99" xfId="0" applyFont="1" applyBorder="1" applyAlignment="1">
      <alignment horizontal="center"/>
    </xf>
    <xf numFmtId="0" fontId="7" fillId="0" borderId="99" xfId="0" applyFont="1" applyBorder="1" applyAlignment="1">
      <alignment wrapText="1"/>
    </xf>
    <xf numFmtId="0" fontId="7" fillId="0" borderId="4" xfId="0" applyFont="1" applyBorder="1" applyAlignment="1">
      <alignment horizontal="center"/>
    </xf>
    <xf numFmtId="0" fontId="7" fillId="0" borderId="88" xfId="0" applyFont="1" applyBorder="1" applyAlignment="1">
      <alignment wrapText="1"/>
    </xf>
    <xf numFmtId="0" fontId="7" fillId="0" borderId="100" xfId="0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0" fontId="7" fillId="0" borderId="96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2" fontId="7" fillId="0" borderId="101" xfId="0" applyNumberFormat="1" applyFont="1" applyBorder="1" applyAlignment="1">
      <alignment horizontal="center"/>
    </xf>
    <xf numFmtId="2" fontId="8" fillId="0" borderId="92" xfId="0" applyNumberFormat="1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10" fontId="7" fillId="0" borderId="24" xfId="13" applyNumberFormat="1" applyFont="1" applyBorder="1" applyAlignment="1">
      <alignment horizontal="center" vertical="center"/>
    </xf>
    <xf numFmtId="166" fontId="7" fillId="0" borderId="101" xfId="0" applyNumberFormat="1" applyFont="1" applyBorder="1" applyAlignment="1">
      <alignment horizontal="center" vertical="center"/>
    </xf>
    <xf numFmtId="2" fontId="7" fillId="0" borderId="69" xfId="0" applyNumberFormat="1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10" fontId="7" fillId="0" borderId="59" xfId="13" applyNumberFormat="1" applyFont="1" applyBorder="1" applyAlignment="1">
      <alignment horizontal="center" vertical="center"/>
    </xf>
    <xf numFmtId="166" fontId="7" fillId="0" borderId="92" xfId="0" applyNumberFormat="1" applyFont="1" applyBorder="1" applyAlignment="1">
      <alignment horizontal="center" vertical="center"/>
    </xf>
    <xf numFmtId="0" fontId="7" fillId="0" borderId="93" xfId="0" applyFont="1" applyBorder="1" applyAlignment="1">
      <alignment horizontal="center" vertical="center"/>
    </xf>
    <xf numFmtId="0" fontId="7" fillId="0" borderId="102" xfId="0" applyFont="1" applyBorder="1"/>
    <xf numFmtId="2" fontId="7" fillId="0" borderId="102" xfId="0" applyNumberFormat="1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96" xfId="0" applyFont="1" applyBorder="1" applyAlignment="1">
      <alignment horizontal="center" vertical="center"/>
    </xf>
    <xf numFmtId="0" fontId="7" fillId="0" borderId="94" xfId="0" applyFont="1" applyBorder="1" applyAlignment="1">
      <alignment horizontal="center" vertical="center"/>
    </xf>
    <xf numFmtId="166" fontId="7" fillId="0" borderId="103" xfId="0" applyNumberFormat="1" applyFont="1" applyBorder="1" applyAlignment="1">
      <alignment horizontal="center" vertical="center"/>
    </xf>
    <xf numFmtId="10" fontId="7" fillId="0" borderId="104" xfId="13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4" xfId="0" applyFont="1" applyBorder="1" applyAlignment="1">
      <alignment horizontal="center" vertical="center"/>
    </xf>
    <xf numFmtId="0" fontId="7" fillId="0" borderId="95" xfId="0" applyFont="1" applyBorder="1"/>
    <xf numFmtId="2" fontId="7" fillId="0" borderId="95" xfId="0" applyNumberFormat="1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0" fontId="7" fillId="0" borderId="83" xfId="0" applyFont="1" applyBorder="1" applyAlignment="1">
      <alignment wrapText="1"/>
    </xf>
    <xf numFmtId="0" fontId="7" fillId="0" borderId="85" xfId="0" applyFont="1" applyBorder="1" applyAlignment="1">
      <alignment horizontal="center"/>
    </xf>
    <xf numFmtId="2" fontId="7" fillId="0" borderId="105" xfId="0" applyNumberFormat="1" applyFont="1" applyBorder="1" applyAlignment="1">
      <alignment horizontal="center"/>
    </xf>
    <xf numFmtId="0" fontId="8" fillId="0" borderId="65" xfId="0" applyFont="1" applyBorder="1" applyAlignment="1">
      <alignment horizontal="center"/>
    </xf>
    <xf numFmtId="0" fontId="7" fillId="0" borderId="82" xfId="0" applyFont="1" applyBorder="1" applyAlignment="1">
      <alignment horizontal="center" vertical="center"/>
    </xf>
    <xf numFmtId="2" fontId="7" fillId="0" borderId="103" xfId="0" applyNumberFormat="1" applyFont="1" applyBorder="1" applyAlignment="1">
      <alignment horizontal="center"/>
    </xf>
    <xf numFmtId="0" fontId="8" fillId="0" borderId="86" xfId="0" applyFont="1" applyBorder="1" applyAlignment="1">
      <alignment horizontal="center" vertical="center"/>
    </xf>
    <xf numFmtId="2" fontId="7" fillId="0" borderId="105" xfId="0" applyNumberFormat="1" applyFont="1" applyBorder="1" applyAlignment="1">
      <alignment horizontal="center" vertical="center"/>
    </xf>
    <xf numFmtId="0" fontId="7" fillId="0" borderId="104" xfId="0" applyFont="1" applyBorder="1" applyAlignment="1">
      <alignment horizontal="center"/>
    </xf>
    <xf numFmtId="0" fontId="7" fillId="0" borderId="73" xfId="0" applyFont="1" applyBorder="1" applyAlignment="1">
      <alignment vertical="center" wrapText="1"/>
    </xf>
    <xf numFmtId="0" fontId="7" fillId="0" borderId="106" xfId="0" applyFont="1" applyBorder="1" applyAlignment="1">
      <alignment horizontal="center"/>
    </xf>
    <xf numFmtId="0" fontId="7" fillId="0" borderId="87" xfId="0" applyFont="1" applyBorder="1" applyAlignment="1">
      <alignment wrapText="1"/>
    </xf>
    <xf numFmtId="167" fontId="7" fillId="0" borderId="105" xfId="0" applyNumberFormat="1" applyFont="1" applyBorder="1" applyAlignment="1">
      <alignment horizontal="center" vertical="center"/>
    </xf>
    <xf numFmtId="167" fontId="8" fillId="0" borderId="107" xfId="0" applyNumberFormat="1" applyFont="1" applyBorder="1" applyAlignment="1">
      <alignment horizontal="center" vertical="center"/>
    </xf>
    <xf numFmtId="167" fontId="8" fillId="0" borderId="5" xfId="0" applyNumberFormat="1" applyFont="1" applyBorder="1" applyAlignment="1">
      <alignment horizontal="center" vertical="center"/>
    </xf>
    <xf numFmtId="0" fontId="7" fillId="0" borderId="110" xfId="0" applyFont="1" applyBorder="1" applyAlignment="1">
      <alignment horizontal="center"/>
    </xf>
    <xf numFmtId="0" fontId="7" fillId="0" borderId="110" xfId="0" applyFont="1" applyBorder="1" applyAlignment="1">
      <alignment wrapText="1"/>
    </xf>
    <xf numFmtId="0" fontId="7" fillId="0" borderId="87" xfId="0" applyFont="1" applyBorder="1" applyAlignment="1">
      <alignment horizontal="center"/>
    </xf>
    <xf numFmtId="0" fontId="7" fillId="0" borderId="106" xfId="0" applyFont="1" applyBorder="1" applyAlignment="1">
      <alignment horizontal="center" vertical="center"/>
    </xf>
    <xf numFmtId="2" fontId="7" fillId="0" borderId="82" xfId="0" applyNumberFormat="1" applyFont="1" applyBorder="1" applyAlignment="1">
      <alignment horizontal="center" vertical="center"/>
    </xf>
    <xf numFmtId="10" fontId="22" fillId="0" borderId="11" xfId="13" applyNumberFormat="1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left" vertical="center"/>
    </xf>
    <xf numFmtId="10" fontId="7" fillId="0" borderId="10" xfId="0" applyNumberFormat="1" applyFont="1" applyBorder="1" applyAlignment="1" applyProtection="1">
      <alignment horizontal="left" vertical="center"/>
    </xf>
    <xf numFmtId="0" fontId="9" fillId="0" borderId="28" xfId="0" applyFont="1" applyBorder="1"/>
    <xf numFmtId="0" fontId="8" fillId="0" borderId="2" xfId="0" applyFont="1" applyBorder="1" applyAlignment="1" applyProtection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 applyProtection="1">
      <alignment horizontal="left" wrapText="1"/>
    </xf>
    <xf numFmtId="0" fontId="8" fillId="4" borderId="19" xfId="0" applyFont="1" applyFill="1" applyBorder="1" applyAlignment="1" applyProtection="1">
      <alignment horizontal="left" vertical="center"/>
    </xf>
    <xf numFmtId="0" fontId="8" fillId="4" borderId="20" xfId="0" applyFont="1" applyFill="1" applyBorder="1" applyAlignment="1" applyProtection="1">
      <alignment horizontal="left" vertical="center"/>
    </xf>
    <xf numFmtId="0" fontId="8" fillId="4" borderId="50" xfId="0" applyFont="1" applyFill="1" applyBorder="1" applyAlignment="1" applyProtection="1">
      <alignment horizontal="left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5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5" xfId="0" applyFont="1" applyBorder="1" applyAlignment="1" applyProtection="1">
      <alignment horizontal="left" vertical="center" wrapText="1"/>
    </xf>
    <xf numFmtId="0" fontId="7" fillId="0" borderId="62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8" fillId="3" borderId="40" xfId="0" applyFont="1" applyFill="1" applyBorder="1" applyAlignment="1" applyProtection="1">
      <alignment horizontal="right" vertical="center"/>
    </xf>
    <xf numFmtId="0" fontId="8" fillId="3" borderId="20" xfId="0" applyFont="1" applyFill="1" applyBorder="1" applyAlignment="1" applyProtection="1">
      <alignment horizontal="right" vertical="center"/>
    </xf>
    <xf numFmtId="0" fontId="8" fillId="3" borderId="21" xfId="0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left" vertical="center" wrapText="1"/>
    </xf>
    <xf numFmtId="0" fontId="8" fillId="3" borderId="51" xfId="0" applyFont="1" applyFill="1" applyBorder="1" applyAlignment="1" applyProtection="1">
      <alignment horizontal="right" vertical="center"/>
    </xf>
    <xf numFmtId="0" fontId="8" fillId="3" borderId="52" xfId="0" applyFont="1" applyFill="1" applyBorder="1" applyAlignment="1" applyProtection="1">
      <alignment horizontal="right" vertical="center"/>
    </xf>
    <xf numFmtId="0" fontId="8" fillId="3" borderId="42" xfId="0" applyFont="1" applyFill="1" applyBorder="1" applyAlignment="1" applyProtection="1">
      <alignment horizontal="right" vertical="center"/>
    </xf>
    <xf numFmtId="0" fontId="8" fillId="4" borderId="40" xfId="0" applyFont="1" applyFill="1" applyBorder="1" applyAlignment="1">
      <alignment horizontal="right" wrapText="1"/>
    </xf>
    <xf numFmtId="0" fontId="8" fillId="4" borderId="20" xfId="0" applyFont="1" applyFill="1" applyBorder="1" applyAlignment="1">
      <alignment horizontal="right" wrapText="1"/>
    </xf>
    <xf numFmtId="0" fontId="8" fillId="4" borderId="21" xfId="0" applyFont="1" applyFill="1" applyBorder="1" applyAlignment="1">
      <alignment horizontal="right" wrapText="1"/>
    </xf>
    <xf numFmtId="0" fontId="8" fillId="0" borderId="109" xfId="0" applyFont="1" applyBorder="1" applyAlignment="1">
      <alignment horizontal="right" vertical="center"/>
    </xf>
    <xf numFmtId="0" fontId="8" fillId="0" borderId="83" xfId="0" applyFont="1" applyBorder="1" applyAlignment="1">
      <alignment horizontal="right" vertical="center"/>
    </xf>
    <xf numFmtId="0" fontId="8" fillId="0" borderId="108" xfId="0" applyFont="1" applyBorder="1" applyAlignment="1">
      <alignment horizontal="right" vertical="center"/>
    </xf>
    <xf numFmtId="0" fontId="8" fillId="0" borderId="104" xfId="0" applyFont="1" applyBorder="1" applyAlignment="1">
      <alignment horizontal="right" vertical="center"/>
    </xf>
    <xf numFmtId="0" fontId="8" fillId="0" borderId="82" xfId="0" applyFont="1" applyBorder="1" applyAlignment="1">
      <alignment horizontal="right" vertical="center"/>
    </xf>
    <xf numFmtId="0" fontId="8" fillId="4" borderId="33" xfId="0" applyFont="1" applyFill="1" applyBorder="1" applyAlignment="1">
      <alignment horizontal="right" wrapText="1"/>
    </xf>
    <xf numFmtId="0" fontId="8" fillId="4" borderId="18" xfId="0" applyFont="1" applyFill="1" applyBorder="1" applyAlignment="1">
      <alignment horizontal="right" wrapText="1"/>
    </xf>
    <xf numFmtId="0" fontId="8" fillId="4" borderId="40" xfId="0" applyFont="1" applyFill="1" applyBorder="1" applyAlignment="1">
      <alignment horizontal="right"/>
    </xf>
    <xf numFmtId="0" fontId="8" fillId="4" borderId="20" xfId="0" applyFont="1" applyFill="1" applyBorder="1" applyAlignment="1">
      <alignment horizontal="right"/>
    </xf>
    <xf numFmtId="0" fontId="8" fillId="4" borderId="21" xfId="0" applyFont="1" applyFill="1" applyBorder="1" applyAlignment="1">
      <alignment horizontal="right"/>
    </xf>
    <xf numFmtId="0" fontId="8" fillId="4" borderId="35" xfId="0" applyFont="1" applyFill="1" applyBorder="1" applyAlignment="1">
      <alignment horizontal="right" wrapText="1"/>
    </xf>
    <xf numFmtId="0" fontId="8" fillId="4" borderId="36" xfId="0" applyFont="1" applyFill="1" applyBorder="1" applyAlignment="1">
      <alignment horizontal="right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4" fillId="0" borderId="1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wrapText="1"/>
    </xf>
    <xf numFmtId="0" fontId="7" fillId="0" borderId="5" xfId="0" applyFont="1" applyBorder="1" applyAlignment="1" applyProtection="1">
      <alignment horizontal="left" wrapText="1"/>
    </xf>
    <xf numFmtId="0" fontId="8" fillId="2" borderId="45" xfId="0" applyFont="1" applyFill="1" applyBorder="1" applyAlignment="1" applyProtection="1">
      <alignment horizontal="left" vertical="center"/>
    </xf>
    <xf numFmtId="0" fontId="8" fillId="2" borderId="90" xfId="0" applyFont="1" applyFill="1" applyBorder="1" applyAlignment="1" applyProtection="1">
      <alignment horizontal="left" vertical="center"/>
    </xf>
    <xf numFmtId="0" fontId="8" fillId="2" borderId="91" xfId="0" applyFont="1" applyFill="1" applyBorder="1" applyAlignment="1" applyProtection="1">
      <alignment horizontal="left" vertical="center"/>
    </xf>
    <xf numFmtId="0" fontId="8" fillId="2" borderId="19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8" fillId="2" borderId="50" xfId="0" applyFont="1" applyFill="1" applyBorder="1" applyAlignment="1">
      <alignment horizontal="left" vertical="center"/>
    </xf>
    <xf numFmtId="166" fontId="9" fillId="0" borderId="30" xfId="1" applyNumberFormat="1" applyFont="1" applyFill="1" applyBorder="1" applyAlignment="1">
      <alignment horizontal="center"/>
    </xf>
    <xf numFmtId="166" fontId="9" fillId="0" borderId="27" xfId="1" applyNumberFormat="1" applyFont="1" applyFill="1" applyBorder="1" applyAlignment="1">
      <alignment horizontal="center"/>
    </xf>
    <xf numFmtId="166" fontId="9" fillId="0" borderId="23" xfId="1" applyNumberFormat="1" applyFont="1" applyFill="1" applyBorder="1" applyAlignment="1">
      <alignment horizontal="center"/>
    </xf>
    <xf numFmtId="166" fontId="9" fillId="0" borderId="24" xfId="1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11" fillId="0" borderId="4" xfId="0" applyFont="1" applyBorder="1" applyAlignment="1">
      <alignment horizontal="left" vertical="center"/>
    </xf>
    <xf numFmtId="0" fontId="9" fillId="5" borderId="28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5" fillId="2" borderId="18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0" fontId="11" fillId="0" borderId="25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6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10" fontId="9" fillId="0" borderId="19" xfId="13" applyNumberFormat="1" applyFont="1" applyBorder="1" applyAlignment="1">
      <alignment horizontal="center"/>
    </xf>
    <xf numFmtId="10" fontId="9" fillId="0" borderId="20" xfId="13" applyNumberFormat="1" applyFont="1" applyBorder="1" applyAlignment="1">
      <alignment horizontal="center"/>
    </xf>
    <xf numFmtId="10" fontId="9" fillId="0" borderId="21" xfId="13" applyNumberFormat="1" applyFont="1" applyBorder="1" applyAlignment="1">
      <alignment horizontal="center"/>
    </xf>
    <xf numFmtId="10" fontId="9" fillId="4" borderId="19" xfId="0" applyNumberFormat="1" applyFont="1" applyFill="1" applyBorder="1" applyAlignment="1">
      <alignment horizontal="center"/>
    </xf>
    <xf numFmtId="10" fontId="9" fillId="4" borderId="20" xfId="0" applyNumberFormat="1" applyFont="1" applyFill="1" applyBorder="1" applyAlignment="1">
      <alignment horizontal="center"/>
    </xf>
    <xf numFmtId="10" fontId="9" fillId="4" borderId="21" xfId="0" applyNumberFormat="1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11" fillId="2" borderId="20" xfId="0" applyFont="1" applyFill="1" applyBorder="1" applyAlignment="1">
      <alignment horizontal="center"/>
    </xf>
    <xf numFmtId="0" fontId="11" fillId="2" borderId="21" xfId="0" applyFont="1" applyFill="1" applyBorder="1" applyAlignment="1">
      <alignment horizontal="center"/>
    </xf>
    <xf numFmtId="166" fontId="9" fillId="0" borderId="19" xfId="0" applyNumberFormat="1" applyFont="1" applyBorder="1" applyAlignment="1">
      <alignment horizontal="center"/>
    </xf>
    <xf numFmtId="44" fontId="9" fillId="0" borderId="20" xfId="0" applyNumberFormat="1" applyFont="1" applyBorder="1" applyAlignment="1">
      <alignment horizontal="center"/>
    </xf>
    <xf numFmtId="44" fontId="9" fillId="0" borderId="21" xfId="0" applyNumberFormat="1" applyFont="1" applyBorder="1" applyAlignment="1">
      <alignment horizontal="center"/>
    </xf>
    <xf numFmtId="166" fontId="9" fillId="4" borderId="19" xfId="0" applyNumberFormat="1" applyFont="1" applyFill="1" applyBorder="1" applyAlignment="1">
      <alignment horizontal="center"/>
    </xf>
    <xf numFmtId="166" fontId="9" fillId="4" borderId="20" xfId="0" applyNumberFormat="1" applyFont="1" applyFill="1" applyBorder="1" applyAlignment="1">
      <alignment horizontal="center"/>
    </xf>
    <xf numFmtId="166" fontId="9" fillId="4" borderId="21" xfId="0" applyNumberFormat="1" applyFont="1" applyFill="1" applyBorder="1" applyAlignment="1">
      <alignment horizontal="center"/>
    </xf>
    <xf numFmtId="0" fontId="11" fillId="0" borderId="20" xfId="0" applyFont="1" applyBorder="1" applyAlignment="1">
      <alignment horizontal="center" vertical="center" wrapText="1"/>
    </xf>
    <xf numFmtId="49" fontId="19" fillId="0" borderId="35" xfId="12" applyNumberFormat="1" applyFont="1" applyBorder="1" applyAlignment="1" applyProtection="1">
      <alignment horizontal="center" vertical="center"/>
      <protection locked="0"/>
    </xf>
    <xf numFmtId="49" fontId="19" fillId="0" borderId="36" xfId="12" applyNumberFormat="1" applyFont="1" applyBorder="1" applyAlignment="1" applyProtection="1">
      <alignment horizontal="center" vertical="center"/>
      <protection locked="0"/>
    </xf>
    <xf numFmtId="49" fontId="20" fillId="0" borderId="37" xfId="12" applyNumberFormat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/>
    <xf numFmtId="0" fontId="11" fillId="0" borderId="3" xfId="0" applyFont="1" applyBorder="1" applyAlignment="1" applyProtection="1"/>
    <xf numFmtId="0" fontId="9" fillId="0" borderId="0" xfId="0" applyFont="1" applyProtection="1"/>
    <xf numFmtId="0" fontId="11" fillId="0" borderId="4" xfId="0" applyFont="1" applyBorder="1" applyAlignment="1" applyProtection="1"/>
    <xf numFmtId="0" fontId="11" fillId="0" borderId="5" xfId="0" applyFont="1" applyBorder="1" applyAlignment="1" applyProtection="1"/>
    <xf numFmtId="0" fontId="13" fillId="0" borderId="4" xfId="0" applyFont="1" applyBorder="1" applyAlignment="1" applyProtection="1"/>
    <xf numFmtId="0" fontId="13" fillId="0" borderId="5" xfId="0" applyFont="1" applyBorder="1" applyAlignment="1" applyProtection="1"/>
    <xf numFmtId="0" fontId="13" fillId="0" borderId="0" xfId="0" applyFont="1" applyBorder="1" applyAlignment="1" applyProtection="1"/>
    <xf numFmtId="0" fontId="15" fillId="0" borderId="0" xfId="0" applyFont="1" applyBorder="1" applyAlignment="1" applyProtection="1">
      <alignment horizontal="left"/>
    </xf>
    <xf numFmtId="0" fontId="13" fillId="0" borderId="4" xfId="0" applyFont="1" applyFill="1" applyBorder="1" applyAlignment="1" applyProtection="1"/>
    <xf numFmtId="0" fontId="13" fillId="0" borderId="5" xfId="0" applyFont="1" applyFill="1" applyBorder="1" applyAlignment="1" applyProtection="1"/>
    <xf numFmtId="0" fontId="13" fillId="0" borderId="0" xfId="0" applyFont="1" applyFill="1" applyBorder="1" applyAlignment="1" applyProtection="1"/>
    <xf numFmtId="0" fontId="13" fillId="0" borderId="4" xfId="0" applyFont="1" applyFill="1" applyBorder="1" applyAlignment="1" applyProtection="1">
      <alignment horizontal="center"/>
    </xf>
    <xf numFmtId="0" fontId="13" fillId="0" borderId="5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center"/>
    </xf>
    <xf numFmtId="0" fontId="13" fillId="0" borderId="4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wrapText="1"/>
    </xf>
    <xf numFmtId="0" fontId="15" fillId="0" borderId="5" xfId="0" applyFont="1" applyBorder="1" applyAlignment="1" applyProtection="1">
      <alignment horizontal="left" wrapText="1"/>
    </xf>
    <xf numFmtId="0" fontId="13" fillId="0" borderId="9" xfId="0" applyFont="1" applyFill="1" applyBorder="1" applyAlignment="1" applyProtection="1">
      <alignment horizontal="center"/>
    </xf>
    <xf numFmtId="0" fontId="13" fillId="0" borderId="11" xfId="0" applyFont="1" applyFill="1" applyBorder="1" applyAlignment="1" applyProtection="1">
      <alignment horizontal="center"/>
    </xf>
    <xf numFmtId="0" fontId="13" fillId="0" borderId="10" xfId="0" applyFont="1" applyBorder="1" applyAlignment="1" applyProtection="1"/>
    <xf numFmtId="0" fontId="15" fillId="0" borderId="10" xfId="0" applyFont="1" applyBorder="1" applyAlignment="1" applyProtection="1">
      <alignment horizontal="left"/>
    </xf>
    <xf numFmtId="0" fontId="13" fillId="0" borderId="10" xfId="0" applyFont="1" applyFill="1" applyBorder="1" applyAlignment="1" applyProtection="1">
      <alignment horizontal="center"/>
    </xf>
    <xf numFmtId="0" fontId="13" fillId="0" borderId="6" xfId="0" applyFont="1" applyFill="1" applyBorder="1" applyAlignment="1" applyProtection="1">
      <alignment horizontal="center"/>
    </xf>
    <xf numFmtId="0" fontId="13" fillId="0" borderId="7" xfId="0" applyFont="1" applyFill="1" applyBorder="1" applyAlignment="1" applyProtection="1">
      <alignment horizontal="center"/>
    </xf>
    <xf numFmtId="0" fontId="13" fillId="0" borderId="8" xfId="0" applyFont="1" applyFill="1" applyBorder="1" applyAlignment="1" applyProtection="1">
      <alignment horizontal="center"/>
    </xf>
    <xf numFmtId="0" fontId="15" fillId="0" borderId="6" xfId="0" applyFont="1" applyBorder="1" applyProtection="1"/>
    <xf numFmtId="0" fontId="15" fillId="0" borderId="7" xfId="0" applyFont="1" applyBorder="1" applyProtection="1"/>
    <xf numFmtId="0" fontId="15" fillId="0" borderId="8" xfId="0" applyFont="1" applyBorder="1" applyProtection="1"/>
    <xf numFmtId="0" fontId="17" fillId="0" borderId="38" xfId="0" applyFont="1" applyBorder="1" applyAlignment="1" applyProtection="1">
      <alignment horizontal="center" vertical="center" wrapText="1"/>
    </xf>
    <xf numFmtId="0" fontId="17" fillId="0" borderId="27" xfId="0" applyFont="1" applyBorder="1" applyAlignment="1" applyProtection="1">
      <alignment horizontal="center" vertical="center" wrapText="1"/>
    </xf>
    <xf numFmtId="0" fontId="17" fillId="0" borderId="39" xfId="0" applyFont="1" applyBorder="1" applyAlignment="1" applyProtection="1">
      <alignment horizontal="center" vertical="center" wrapText="1"/>
    </xf>
    <xf numFmtId="0" fontId="23" fillId="0" borderId="0" xfId="0" applyFont="1" applyProtection="1"/>
    <xf numFmtId="2" fontId="23" fillId="0" borderId="0" xfId="0" applyNumberFormat="1" applyFont="1" applyProtection="1"/>
    <xf numFmtId="0" fontId="12" fillId="0" borderId="4" xfId="0" applyFont="1" applyBorder="1" applyProtection="1"/>
    <xf numFmtId="0" fontId="9" fillId="0" borderId="0" xfId="0" applyFont="1" applyBorder="1" applyProtection="1"/>
    <xf numFmtId="0" fontId="9" fillId="0" borderId="5" xfId="0" applyFont="1" applyBorder="1" applyProtection="1"/>
    <xf numFmtId="0" fontId="15" fillId="0" borderId="4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0" fontId="15" fillId="0" borderId="5" xfId="0" applyFont="1" applyBorder="1" applyAlignment="1" applyProtection="1">
      <alignment horizontal="left" vertical="center"/>
    </xf>
    <xf numFmtId="0" fontId="15" fillId="0" borderId="4" xfId="0" applyFont="1" applyBorder="1" applyAlignment="1" applyProtection="1">
      <alignment horizontal="justify" vertical="top" wrapText="1"/>
    </xf>
    <xf numFmtId="0" fontId="15" fillId="0" borderId="0" xfId="0" applyFont="1" applyBorder="1" applyAlignment="1" applyProtection="1">
      <alignment horizontal="justify" vertical="top" wrapText="1"/>
    </xf>
    <xf numFmtId="0" fontId="15" fillId="0" borderId="5" xfId="0" applyFont="1" applyBorder="1" applyAlignment="1" applyProtection="1">
      <alignment horizontal="justify" vertical="top" wrapText="1"/>
    </xf>
    <xf numFmtId="0" fontId="15" fillId="0" borderId="4" xfId="0" applyFont="1" applyBorder="1" applyAlignment="1" applyProtection="1">
      <alignment horizontal="left" vertical="top" wrapText="1"/>
    </xf>
    <xf numFmtId="0" fontId="15" fillId="0" borderId="0" xfId="0" applyFont="1" applyBorder="1" applyAlignment="1" applyProtection="1">
      <alignment horizontal="left" vertical="top" wrapText="1"/>
    </xf>
    <xf numFmtId="0" fontId="15" fillId="0" borderId="5" xfId="0" applyFont="1" applyBorder="1" applyAlignment="1" applyProtection="1">
      <alignment horizontal="left" vertical="top" wrapText="1"/>
    </xf>
    <xf numFmtId="0" fontId="15" fillId="0" borderId="4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0" fontId="15" fillId="0" borderId="5" xfId="0" applyFont="1" applyBorder="1" applyAlignment="1" applyProtection="1">
      <alignment horizontal="left" vertical="center"/>
    </xf>
    <xf numFmtId="0" fontId="15" fillId="0" borderId="4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0" xfId="0" applyFont="1" applyBorder="1" applyProtection="1"/>
    <xf numFmtId="0" fontId="15" fillId="0" borderId="0" xfId="0" applyFont="1" applyBorder="1" applyAlignment="1" applyProtection="1">
      <alignment horizontal="center"/>
    </xf>
    <xf numFmtId="2" fontId="15" fillId="0" borderId="0" xfId="0" applyNumberFormat="1" applyFont="1" applyBorder="1" applyAlignment="1" applyProtection="1">
      <alignment horizontal="center"/>
    </xf>
    <xf numFmtId="166" fontId="15" fillId="0" borderId="0" xfId="0" applyNumberFormat="1" applyFont="1" applyBorder="1" applyProtection="1"/>
    <xf numFmtId="166" fontId="15" fillId="0" borderId="0" xfId="0" applyNumberFormat="1" applyFont="1" applyBorder="1" applyAlignment="1" applyProtection="1">
      <alignment horizontal="center"/>
    </xf>
    <xf numFmtId="0" fontId="15" fillId="0" borderId="5" xfId="0" applyFont="1" applyBorder="1" applyProtection="1"/>
    <xf numFmtId="0" fontId="15" fillId="0" borderId="5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center"/>
    </xf>
    <xf numFmtId="4" fontId="13" fillId="0" borderId="0" xfId="0" applyNumberFormat="1" applyFont="1" applyBorder="1" applyAlignment="1" applyProtection="1">
      <alignment horizontal="center"/>
    </xf>
    <xf numFmtId="166" fontId="13" fillId="0" borderId="0" xfId="0" applyNumberFormat="1" applyFont="1" applyBorder="1" applyAlignment="1" applyProtection="1">
      <alignment horizontal="center"/>
    </xf>
    <xf numFmtId="4" fontId="15" fillId="0" borderId="0" xfId="0" applyNumberFormat="1" applyFont="1" applyBorder="1" applyAlignment="1" applyProtection="1">
      <alignment horizontal="center"/>
    </xf>
    <xf numFmtId="0" fontId="13" fillId="0" borderId="9" xfId="0" applyFont="1" applyBorder="1" applyAlignment="1" applyProtection="1">
      <alignment horizontal="center"/>
    </xf>
    <xf numFmtId="0" fontId="13" fillId="0" borderId="10" xfId="0" applyFont="1" applyBorder="1" applyAlignment="1" applyProtection="1">
      <alignment horizontal="center"/>
    </xf>
    <xf numFmtId="166" fontId="13" fillId="0" borderId="10" xfId="0" applyNumberFormat="1" applyFont="1" applyBorder="1" applyAlignment="1" applyProtection="1">
      <alignment horizontal="center"/>
    </xf>
    <xf numFmtId="0" fontId="15" fillId="0" borderId="10" xfId="0" applyFont="1" applyBorder="1" applyProtection="1"/>
    <xf numFmtId="0" fontId="15" fillId="0" borderId="11" xfId="0" applyFont="1" applyBorder="1" applyProtection="1"/>
    <xf numFmtId="10" fontId="9" fillId="0" borderId="31" xfId="13" applyNumberFormat="1" applyFont="1" applyFill="1" applyBorder="1" applyAlignment="1" applyProtection="1">
      <alignment horizontal="center"/>
      <protection locked="0"/>
    </xf>
    <xf numFmtId="10" fontId="9" fillId="0" borderId="25" xfId="13" applyNumberFormat="1" applyFont="1" applyFill="1" applyBorder="1" applyAlignment="1" applyProtection="1">
      <alignment horizontal="center"/>
      <protection locked="0"/>
    </xf>
    <xf numFmtId="10" fontId="9" fillId="0" borderId="29" xfId="13" applyNumberFormat="1" applyFont="1" applyFill="1" applyBorder="1" applyAlignment="1" applyProtection="1">
      <alignment horizontal="center"/>
      <protection locked="0"/>
    </xf>
    <xf numFmtId="10" fontId="9" fillId="0" borderId="22" xfId="13" applyNumberFormat="1" applyFont="1" applyFill="1" applyBorder="1" applyAlignment="1" applyProtection="1">
      <alignment horizontal="center"/>
      <protection locked="0"/>
    </xf>
    <xf numFmtId="10" fontId="9" fillId="0" borderId="31" xfId="13" applyNumberFormat="1" applyFont="1" applyFill="1" applyBorder="1" applyAlignment="1" applyProtection="1">
      <alignment horizontal="center" vertical="center"/>
      <protection locked="0"/>
    </xf>
    <xf numFmtId="10" fontId="9" fillId="0" borderId="25" xfId="13" applyNumberFormat="1" applyFont="1" applyFill="1" applyBorder="1" applyAlignment="1" applyProtection="1">
      <alignment horizontal="center" vertical="center"/>
      <protection locked="0"/>
    </xf>
    <xf numFmtId="10" fontId="9" fillId="0" borderId="29" xfId="13" applyNumberFormat="1" applyFont="1" applyFill="1" applyBorder="1" applyAlignment="1" applyProtection="1">
      <alignment horizontal="center" vertical="center"/>
      <protection locked="0"/>
    </xf>
    <xf numFmtId="10" fontId="9" fillId="0" borderId="22" xfId="13" applyNumberFormat="1" applyFont="1" applyFill="1" applyBorder="1" applyAlignment="1" applyProtection="1">
      <alignment horizontal="center" vertical="center"/>
      <protection locked="0"/>
    </xf>
    <xf numFmtId="166" fontId="9" fillId="0" borderId="22" xfId="13" applyNumberFormat="1" applyFont="1" applyFill="1" applyBorder="1" applyAlignment="1" applyProtection="1">
      <alignment horizontal="center" vertical="center"/>
      <protection locked="0"/>
    </xf>
    <xf numFmtId="166" fontId="9" fillId="0" borderId="31" xfId="13" applyNumberFormat="1" applyFont="1" applyFill="1" applyBorder="1" applyAlignment="1" applyProtection="1">
      <alignment horizontal="center" vertical="center"/>
      <protection locked="0"/>
    </xf>
    <xf numFmtId="166" fontId="7" fillId="0" borderId="57" xfId="0" applyNumberFormat="1" applyFont="1" applyBorder="1" applyAlignment="1" applyProtection="1">
      <alignment horizontal="center" vertical="center"/>
      <protection locked="0"/>
    </xf>
    <xf numFmtId="166" fontId="7" fillId="0" borderId="67" xfId="0" applyNumberFormat="1" applyFont="1" applyBorder="1" applyAlignment="1" applyProtection="1">
      <alignment horizontal="center" vertical="center"/>
      <protection locked="0"/>
    </xf>
    <xf numFmtId="166" fontId="7" fillId="0" borderId="78" xfId="0" applyNumberFormat="1" applyFont="1" applyBorder="1" applyAlignment="1" applyProtection="1">
      <alignment horizontal="center" vertical="center"/>
      <protection locked="0"/>
    </xf>
    <xf numFmtId="166" fontId="7" fillId="0" borderId="56" xfId="0" applyNumberFormat="1" applyFont="1" applyBorder="1" applyAlignment="1" applyProtection="1">
      <alignment horizontal="center" vertical="center"/>
      <protection locked="0"/>
    </xf>
    <xf numFmtId="166" fontId="7" fillId="0" borderId="73" xfId="0" applyNumberFormat="1" applyFont="1" applyBorder="1" applyAlignment="1" applyProtection="1">
      <alignment horizontal="center" vertical="center"/>
      <protection locked="0"/>
    </xf>
    <xf numFmtId="166" fontId="7" fillId="0" borderId="82" xfId="0" applyNumberFormat="1" applyFont="1" applyBorder="1" applyAlignment="1" applyProtection="1">
      <alignment horizontal="center" vertical="center"/>
      <protection locked="0"/>
    </xf>
    <xf numFmtId="166" fontId="7" fillId="0" borderId="75" xfId="0" applyNumberFormat="1" applyFont="1" applyBorder="1" applyAlignment="1" applyProtection="1">
      <alignment horizontal="center" vertical="center"/>
      <protection locked="0"/>
    </xf>
    <xf numFmtId="166" fontId="7" fillId="0" borderId="71" xfId="0" applyNumberFormat="1" applyFont="1" applyBorder="1" applyAlignment="1" applyProtection="1">
      <alignment horizontal="center" vertical="center"/>
      <protection locked="0"/>
    </xf>
    <xf numFmtId="166" fontId="7" fillId="0" borderId="97" xfId="0" applyNumberFormat="1" applyFont="1" applyBorder="1" applyAlignment="1" applyProtection="1">
      <alignment horizontal="center" vertical="center"/>
      <protection locked="0"/>
    </xf>
    <xf numFmtId="166" fontId="7" fillId="0" borderId="99" xfId="0" applyNumberFormat="1" applyFont="1" applyBorder="1" applyAlignment="1" applyProtection="1">
      <alignment horizontal="center" vertical="center"/>
      <protection locked="0"/>
    </xf>
    <xf numFmtId="166" fontId="7" fillId="0" borderId="59" xfId="0" applyNumberFormat="1" applyFont="1" applyBorder="1" applyAlignment="1" applyProtection="1">
      <alignment horizontal="center" vertical="center"/>
      <protection locked="0"/>
    </xf>
    <xf numFmtId="166" fontId="7" fillId="0" borderId="61" xfId="0" applyNumberFormat="1" applyFont="1" applyBorder="1" applyAlignment="1" applyProtection="1">
      <alignment horizontal="center" vertical="center"/>
      <protection locked="0"/>
    </xf>
    <xf numFmtId="166" fontId="7" fillId="0" borderId="24" xfId="0" applyNumberFormat="1" applyFont="1" applyBorder="1" applyAlignment="1" applyProtection="1">
      <alignment horizontal="center" vertical="center"/>
      <protection locked="0"/>
    </xf>
    <xf numFmtId="166" fontId="7" fillId="0" borderId="55" xfId="0" applyNumberFormat="1" applyFont="1" applyBorder="1" applyAlignment="1" applyProtection="1">
      <alignment horizontal="center" vertical="center"/>
      <protection locked="0"/>
    </xf>
    <xf numFmtId="166" fontId="7" fillId="0" borderId="76" xfId="0" applyNumberFormat="1" applyFont="1" applyBorder="1" applyAlignment="1" applyProtection="1">
      <alignment horizontal="center" vertical="center"/>
      <protection locked="0"/>
    </xf>
    <xf numFmtId="166" fontId="7" fillId="0" borderId="41" xfId="0" applyNumberFormat="1" applyFont="1" applyBorder="1" applyAlignment="1" applyProtection="1">
      <alignment horizontal="center" vertical="center"/>
      <protection locked="0"/>
    </xf>
    <xf numFmtId="166" fontId="7" fillId="0" borderId="79" xfId="0" applyNumberFormat="1" applyFont="1" applyBorder="1" applyAlignment="1" applyProtection="1">
      <alignment horizontal="center" vertical="center"/>
      <protection locked="0"/>
    </xf>
    <xf numFmtId="166" fontId="7" fillId="0" borderId="80" xfId="0" applyNumberFormat="1" applyFont="1" applyBorder="1" applyAlignment="1" applyProtection="1">
      <alignment horizontal="center" vertical="center"/>
      <protection locked="0"/>
    </xf>
    <xf numFmtId="166" fontId="7" fillId="0" borderId="81" xfId="0" applyNumberFormat="1" applyFont="1" applyBorder="1" applyAlignment="1" applyProtection="1">
      <alignment horizontal="center" vertical="center"/>
      <protection locked="0"/>
    </xf>
    <xf numFmtId="166" fontId="7" fillId="0" borderId="60" xfId="0" applyNumberFormat="1" applyFont="1" applyBorder="1" applyAlignment="1" applyProtection="1">
      <alignment horizontal="center" vertical="center"/>
      <protection locked="0"/>
    </xf>
    <xf numFmtId="166" fontId="7" fillId="0" borderId="102" xfId="0" applyNumberFormat="1" applyFont="1" applyBorder="1" applyAlignment="1" applyProtection="1">
      <alignment horizontal="center" vertical="center"/>
      <protection locked="0"/>
    </xf>
    <xf numFmtId="166" fontId="7" fillId="0" borderId="85" xfId="0" applyNumberFormat="1" applyFont="1" applyBorder="1" applyAlignment="1" applyProtection="1">
      <alignment horizontal="center" vertical="center"/>
      <protection locked="0"/>
    </xf>
    <xf numFmtId="166" fontId="7" fillId="0" borderId="75" xfId="0" applyNumberFormat="1" applyFont="1" applyBorder="1" applyAlignment="1" applyProtection="1">
      <alignment horizontal="center" vertical="center"/>
      <protection locked="0"/>
    </xf>
    <xf numFmtId="166" fontId="7" fillId="0" borderId="95" xfId="0" applyNumberFormat="1" applyFont="1" applyBorder="1" applyAlignment="1" applyProtection="1">
      <alignment horizontal="center" vertical="center"/>
      <protection locked="0"/>
    </xf>
    <xf numFmtId="166" fontId="7" fillId="0" borderId="82" xfId="0" applyNumberFormat="1" applyFont="1" applyBorder="1" applyAlignment="1" applyProtection="1">
      <alignment horizontal="center" vertical="center"/>
      <protection locked="0"/>
    </xf>
    <xf numFmtId="166" fontId="7" fillId="0" borderId="102" xfId="0" applyNumberFormat="1" applyFont="1" applyBorder="1" applyAlignment="1" applyProtection="1">
      <alignment horizontal="center" vertical="center"/>
      <protection locked="0"/>
    </xf>
    <xf numFmtId="166" fontId="7" fillId="0" borderId="58" xfId="0" applyNumberFormat="1" applyFont="1" applyBorder="1" applyAlignment="1" applyProtection="1">
      <alignment horizontal="center" vertical="center"/>
      <protection locked="0"/>
    </xf>
  </cellXfs>
  <cellStyles count="14">
    <cellStyle name="Moeda" xfId="1" builtinId="4"/>
    <cellStyle name="Moeda 2" xfId="3"/>
    <cellStyle name="Moeda 2 2" xfId="6"/>
    <cellStyle name="Moeda 3" xfId="7"/>
    <cellStyle name="Moeda 4" xfId="9"/>
    <cellStyle name="Normal" xfId="0" builtinId="0" customBuiltin="1"/>
    <cellStyle name="Normal 2" xfId="10"/>
    <cellStyle name="Normal 3" xfId="2"/>
    <cellStyle name="Normal 4" xfId="4"/>
    <cellStyle name="Normal 5" xfId="8"/>
    <cellStyle name="Porcentagem" xfId="13" builtinId="5"/>
    <cellStyle name="Porcentagem 2" xfId="11"/>
    <cellStyle name="Vírgula" xfId="12" builtinId="3"/>
    <cellStyle name="Vírgula 5" xfId="5"/>
  </cellStyles>
  <dxfs count="1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50802</xdr:colOff>
      <xdr:row>3</xdr:row>
      <xdr:rowOff>15876</xdr:rowOff>
    </xdr:from>
    <xdr:to>
      <xdr:col>2</xdr:col>
      <xdr:colOff>635001</xdr:colOff>
      <xdr:row>7</xdr:row>
      <xdr:rowOff>302782</xdr:rowOff>
    </xdr:to>
    <xdr:pic>
      <xdr:nvPicPr>
        <xdr:cNvPr id="2" name="Imagem 1" descr="https://superpublicidade.com.br/wp-content/uploads/2019/12/Prefeitura-Catala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90" y="873126"/>
          <a:ext cx="1195386" cy="1112406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337457</xdr:colOff>
      <xdr:row>2</xdr:row>
      <xdr:rowOff>123624</xdr:rowOff>
    </xdr:from>
    <xdr:to>
      <xdr:col>4</xdr:col>
      <xdr:colOff>2181983</xdr:colOff>
      <xdr:row>7</xdr:row>
      <xdr:rowOff>809625</xdr:rowOff>
    </xdr:to>
    <xdr:pic>
      <xdr:nvPicPr>
        <xdr:cNvPr id="5" name="Imagem 4" descr="https://superpublicidade.com.br/wp-content/uploads/2019/12/Prefeitura-Catalao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8207" y="599874"/>
          <a:ext cx="1844526" cy="1788180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123411</xdr:colOff>
      <xdr:row>1</xdr:row>
      <xdr:rowOff>56145</xdr:rowOff>
    </xdr:from>
    <xdr:to>
      <xdr:col>1</xdr:col>
      <xdr:colOff>2294282</xdr:colOff>
      <xdr:row>10</xdr:row>
      <xdr:rowOff>121342</xdr:rowOff>
    </xdr:to>
    <xdr:pic>
      <xdr:nvPicPr>
        <xdr:cNvPr id="2" name="Imagem 1" descr="https://superpublicidade.com.br/wp-content/uploads/2019/12/Prefeitura-Catalao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11" y="263210"/>
          <a:ext cx="2535306" cy="1928784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</xdr:colOff>
      <xdr:row>0</xdr:row>
      <xdr:rowOff>87311</xdr:rowOff>
    </xdr:from>
    <xdr:to>
      <xdr:col>1</xdr:col>
      <xdr:colOff>698501</xdr:colOff>
      <xdr:row>7</xdr:row>
      <xdr:rowOff>39370</xdr:rowOff>
    </xdr:to>
    <xdr:pic>
      <xdr:nvPicPr>
        <xdr:cNvPr id="2" name="Imagem 1" descr="https://superpublicidade.com.br/wp-content/uploads/2019/12/Prefeitura-Catalao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" y="87311"/>
          <a:ext cx="1884364" cy="1610997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384175</xdr:colOff>
      <xdr:row>35</xdr:row>
      <xdr:rowOff>185736</xdr:rowOff>
    </xdr:from>
    <xdr:ext cx="65" cy="176587"/>
    <xdr:sp macro="" textlink="">
      <xdr:nvSpPr>
        <xdr:cNvPr id="5" name="CaixaDeTexto 4"/>
        <xdr:cNvSpPr txBox="1"/>
      </xdr:nvSpPr>
      <xdr:spPr>
        <a:xfrm>
          <a:off x="384175" y="7194549"/>
          <a:ext cx="65" cy="1765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200" b="1" i="0">
            <a:latin typeface="Arial Narrow" panose="020B0606020202030204" pitchFamily="34" charset="0"/>
          </a:endParaRPr>
        </a:p>
      </xdr:txBody>
    </xdr:sp>
    <xdr:clientData/>
  </xdr:oneCellAnchor>
  <xdr:oneCellAnchor>
    <xdr:from>
      <xdr:col>0</xdr:col>
      <xdr:colOff>98424</xdr:colOff>
      <xdr:row>35</xdr:row>
      <xdr:rowOff>177799</xdr:rowOff>
    </xdr:from>
    <xdr:ext cx="3370474" cy="38446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aixaDeTexto 5"/>
            <xdr:cNvSpPr txBox="1"/>
          </xdr:nvSpPr>
          <xdr:spPr>
            <a:xfrm>
              <a:off x="98424" y="7186612"/>
              <a:ext cx="3370474" cy="3844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200" b="1" i="0" baseline="0">
                        <a:latin typeface="Cambria Math" panose="02040503050406030204" pitchFamily="18" charset="0"/>
                      </a:rPr>
                      <m:t>𝐁𝐃𝐈</m:t>
                    </m:r>
                    <m:r>
                      <a:rPr lang="pt-BR" sz="1200" b="1" i="0" baseline="0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pt-BR" sz="1200" b="1" i="1" baseline="0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BR" sz="1200" b="1" i="1" baseline="0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pt-BR" sz="1200" b="1" i="1" baseline="0">
                            <a:latin typeface="Cambria Math" panose="02040503050406030204" pitchFamily="18" charset="0"/>
                          </a:rPr>
                          <m:t>𝟏</m:t>
                        </m:r>
                        <m:r>
                          <a:rPr lang="pt-BR" sz="1200" b="1" i="1" baseline="0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pt-BR" sz="1200" b="1" i="1" baseline="0">
                            <a:latin typeface="Cambria Math" panose="02040503050406030204" pitchFamily="18" charset="0"/>
                          </a:rPr>
                          <m:t>𝑨𝑪</m:t>
                        </m:r>
                        <m:r>
                          <a:rPr lang="pt-BR" sz="1200" b="1" i="1" baseline="0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pt-BR" sz="1200" b="1" i="1" baseline="0">
                            <a:latin typeface="Cambria Math" panose="02040503050406030204" pitchFamily="18" charset="0"/>
                          </a:rPr>
                          <m:t>𝑺</m:t>
                        </m:r>
                        <m:r>
                          <a:rPr lang="pt-BR" sz="1200" b="1" i="1" baseline="0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pt-BR" sz="1200" b="1" i="1" baseline="0">
                            <a:latin typeface="Cambria Math" panose="02040503050406030204" pitchFamily="18" charset="0"/>
                          </a:rPr>
                          <m:t>𝑹</m:t>
                        </m:r>
                        <m:r>
                          <a:rPr lang="pt-BR" sz="1200" b="1" i="1" baseline="0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pt-BR" sz="1200" b="1" i="1" baseline="0">
                            <a:latin typeface="Cambria Math" panose="02040503050406030204" pitchFamily="18" charset="0"/>
                          </a:rPr>
                          <m:t>𝑮</m:t>
                        </m:r>
                        <m:r>
                          <a:rPr lang="pt-BR" sz="1200" b="1" i="1" baseline="0">
                            <a:latin typeface="Cambria Math" panose="02040503050406030204" pitchFamily="18" charset="0"/>
                          </a:rPr>
                          <m:t>)(</m:t>
                        </m:r>
                        <m:r>
                          <a:rPr lang="pt-BR" sz="1200" b="1" i="1" baseline="0">
                            <a:latin typeface="Cambria Math" panose="02040503050406030204" pitchFamily="18" charset="0"/>
                          </a:rPr>
                          <m:t>𝟏</m:t>
                        </m:r>
                        <m:r>
                          <a:rPr lang="pt-BR" sz="1200" b="1" i="1" baseline="0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pt-BR" sz="1200" b="1" i="1" baseline="0">
                            <a:latin typeface="Cambria Math" panose="02040503050406030204" pitchFamily="18" charset="0"/>
                          </a:rPr>
                          <m:t>𝑫𝑭</m:t>
                        </m:r>
                        <m:r>
                          <a:rPr lang="pt-BR" sz="1200" b="1" i="1" baseline="0">
                            <a:latin typeface="Cambria Math" panose="02040503050406030204" pitchFamily="18" charset="0"/>
                          </a:rPr>
                          <m:t>)(</m:t>
                        </m:r>
                        <m:r>
                          <a:rPr lang="pt-BR" sz="1200" b="1" i="1" baseline="0">
                            <a:latin typeface="Cambria Math" panose="02040503050406030204" pitchFamily="18" charset="0"/>
                          </a:rPr>
                          <m:t>𝟏</m:t>
                        </m:r>
                        <m:r>
                          <a:rPr lang="pt-BR" sz="1200" b="1" i="1" baseline="0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pt-BR" sz="1200" b="1" i="1" baseline="0">
                            <a:latin typeface="Cambria Math" panose="02040503050406030204" pitchFamily="18" charset="0"/>
                          </a:rPr>
                          <m:t>𝑳</m:t>
                        </m:r>
                        <m:r>
                          <a:rPr lang="pt-BR" sz="1200" b="1" i="1" baseline="0">
                            <a:latin typeface="Cambria Math" panose="02040503050406030204" pitchFamily="18" charset="0"/>
                          </a:rPr>
                          <m:t>)</m:t>
                        </m:r>
                      </m:num>
                      <m:den>
                        <m:r>
                          <a:rPr lang="pt-BR" sz="1200" b="1" i="1" baseline="0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pt-BR" sz="1200" b="1" i="1" baseline="0">
                            <a:latin typeface="Cambria Math" panose="02040503050406030204" pitchFamily="18" charset="0"/>
                          </a:rPr>
                          <m:t>𝟏</m:t>
                        </m:r>
                        <m:r>
                          <a:rPr lang="pt-BR" sz="1200" b="1" i="1" baseline="0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pt-BR" sz="1200" b="1" i="1" baseline="0">
                            <a:latin typeface="Cambria Math" panose="02040503050406030204" pitchFamily="18" charset="0"/>
                          </a:rPr>
                          <m:t>𝑰</m:t>
                        </m:r>
                        <m:r>
                          <a:rPr lang="pt-BR" sz="1200" b="1" i="1" baseline="0">
                            <a:latin typeface="Cambria Math" panose="02040503050406030204" pitchFamily="18" charset="0"/>
                          </a:rPr>
                          <m:t>)</m:t>
                        </m:r>
                      </m:den>
                    </m:f>
                    <m:r>
                      <a:rPr lang="pt-BR" sz="1200" b="1" i="1" baseline="0">
                        <a:latin typeface="Cambria Math" panose="02040503050406030204" pitchFamily="18" charset="0"/>
                      </a:rPr>
                      <m:t>−</m:t>
                    </m:r>
                    <m:r>
                      <a:rPr lang="pt-BR" sz="1200" b="1" i="1" baseline="0">
                        <a:latin typeface="Cambria Math" panose="02040503050406030204" pitchFamily="18" charset="0"/>
                      </a:rPr>
                      <m:t>𝟏</m:t>
                    </m:r>
                  </m:oMath>
                </m:oMathPara>
              </a14:m>
              <a:endParaRPr lang="pt-BR" sz="1200" b="1" i="0" baseline="0">
                <a:latin typeface="Arial Narrow" panose="020B0606020202030204" pitchFamily="34" charset="0"/>
              </a:endParaRPr>
            </a:p>
          </xdr:txBody>
        </xdr:sp>
      </mc:Choice>
      <mc:Fallback xmlns="">
        <xdr:sp macro="" textlink="">
          <xdr:nvSpPr>
            <xdr:cNvPr id="6" name="CaixaDeTexto 5"/>
            <xdr:cNvSpPr txBox="1"/>
          </xdr:nvSpPr>
          <xdr:spPr>
            <a:xfrm>
              <a:off x="98424" y="7186612"/>
              <a:ext cx="3370474" cy="3844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BR" sz="1200" b="1" i="0" baseline="0">
                  <a:latin typeface="Cambria Math" panose="02040503050406030204" pitchFamily="18" charset="0"/>
                </a:rPr>
                <a:t>𝐁𝐃𝐈=  ((𝟏+𝑨𝑪+𝑺+𝑹+𝑮)(𝟏+𝑫𝑭)(𝟏+𝑳))/((𝟏+𝑰))−𝟏</a:t>
              </a:r>
              <a:endParaRPr lang="pt-BR" sz="1200" b="1" i="0" baseline="0">
                <a:latin typeface="Arial Narrow" panose="020B0606020202030204" pitchFamily="34" charset="0"/>
              </a:endParaRPr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53\PROCESSOS%20-%20EM%20AN&#193;LISE\PIRES%20BELO\PRA&#199;A\CD\OR&#199;AMENTO%20PRA&#199;A%20PIRES%20BE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MEMÓRIA DE CÁLCULO"/>
      <sheetName val="BDI"/>
      <sheetName val="CRONOGRAMA"/>
      <sheetName val="COMPOSIÇÃO"/>
    </sheetNames>
    <sheetDataSet>
      <sheetData sheetId="0">
        <row r="1">
          <cell r="C1" t="str">
            <v>PREFEITURA MUNICIPAL DE CATALÃO</v>
          </cell>
        </row>
        <row r="3">
          <cell r="C3" t="str">
            <v>SETOR</v>
          </cell>
          <cell r="D3" t="str">
            <v>SECRETARIA MUNICIPAL DE OBRAS</v>
          </cell>
        </row>
        <row r="4">
          <cell r="C4" t="str">
            <v>OBJETO</v>
          </cell>
        </row>
        <row r="5">
          <cell r="C5" t="str">
            <v>PROCESSO</v>
          </cell>
        </row>
        <row r="6">
          <cell r="C6" t="str">
            <v>ENDEREÇO</v>
          </cell>
        </row>
        <row r="7">
          <cell r="C7" t="str">
            <v>TABELAS</v>
          </cell>
        </row>
        <row r="9">
          <cell r="C9" t="str">
            <v xml:space="preserve">DATA 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showGridLines="0" tabSelected="1" topLeftCell="A8" zoomScale="120" zoomScaleNormal="120" workbookViewId="0">
      <selection activeCell="H16" sqref="H16:I16"/>
    </sheetView>
  </sheetViews>
  <sheetFormatPr defaultRowHeight="16.5" x14ac:dyDescent="0.3"/>
  <cols>
    <col min="1" max="1" width="3.42578125" style="3" customWidth="1"/>
    <col min="2" max="2" width="9.140625" style="67"/>
    <col min="3" max="3" width="10.5703125" style="67" bestFit="1" customWidth="1"/>
    <col min="4" max="4" width="10.42578125" style="67" bestFit="1" customWidth="1"/>
    <col min="5" max="5" width="64.42578125" style="21" customWidth="1"/>
    <col min="6" max="6" width="8.5703125" style="76" bestFit="1" customWidth="1"/>
    <col min="7" max="7" width="5.7109375" style="67" bestFit="1" customWidth="1"/>
    <col min="8" max="8" width="11.85546875" style="73" bestFit="1" customWidth="1"/>
    <col min="9" max="9" width="15.28515625" style="73" bestFit="1" customWidth="1"/>
    <col min="10" max="10" width="6.42578125" style="73" bestFit="1" customWidth="1"/>
    <col min="11" max="11" width="14.7109375" style="73" bestFit="1" customWidth="1"/>
    <col min="12" max="12" width="0.5703125" style="3" customWidth="1"/>
    <col min="13" max="13" width="12.7109375" style="68" bestFit="1" customWidth="1"/>
    <col min="14" max="16384" width="9.140625" style="3"/>
  </cols>
  <sheetData>
    <row r="1" spans="2:13" ht="17.25" thickBot="1" x14ac:dyDescent="0.35"/>
    <row r="2" spans="2:13" x14ac:dyDescent="0.3">
      <c r="B2" s="1"/>
      <c r="C2" s="2"/>
      <c r="D2" s="309" t="s">
        <v>0</v>
      </c>
      <c r="E2" s="309"/>
      <c r="F2" s="309"/>
      <c r="G2" s="309"/>
      <c r="H2" s="309"/>
      <c r="I2" s="309"/>
      <c r="J2" s="309"/>
      <c r="K2" s="310"/>
    </row>
    <row r="3" spans="2:13" ht="33.75" customHeight="1" x14ac:dyDescent="0.3">
      <c r="B3" s="4"/>
      <c r="C3" s="5"/>
      <c r="D3" s="311" t="s">
        <v>1</v>
      </c>
      <c r="E3" s="311"/>
      <c r="F3" s="311"/>
      <c r="G3" s="311"/>
      <c r="H3" s="311"/>
      <c r="I3" s="311"/>
      <c r="J3" s="311"/>
      <c r="K3" s="312"/>
    </row>
    <row r="4" spans="2:13" x14ac:dyDescent="0.3">
      <c r="B4" s="4"/>
      <c r="C4" s="5"/>
      <c r="D4" s="77" t="s">
        <v>2</v>
      </c>
      <c r="E4" s="7" t="s">
        <v>3</v>
      </c>
      <c r="F4" s="8"/>
      <c r="G4" s="6"/>
      <c r="H4" s="9"/>
      <c r="I4" s="9"/>
      <c r="J4" s="9"/>
      <c r="K4" s="10"/>
    </row>
    <row r="5" spans="2:13" x14ac:dyDescent="0.3">
      <c r="B5" s="4"/>
      <c r="C5" s="5"/>
      <c r="D5" s="77" t="s">
        <v>4</v>
      </c>
      <c r="E5" s="7" t="s">
        <v>171</v>
      </c>
      <c r="F5" s="8"/>
      <c r="G5" s="6"/>
      <c r="H5" s="9"/>
      <c r="I5" s="9"/>
      <c r="J5" s="9"/>
      <c r="K5" s="10"/>
    </row>
    <row r="6" spans="2:13" x14ac:dyDescent="0.3">
      <c r="B6" s="4"/>
      <c r="C6" s="5"/>
      <c r="D6" s="77" t="s">
        <v>5</v>
      </c>
      <c r="E6" s="7">
        <v>2022015457</v>
      </c>
      <c r="F6" s="11"/>
      <c r="G6" s="12"/>
      <c r="H6" s="13"/>
      <c r="I6" s="9"/>
      <c r="J6" s="9"/>
      <c r="K6" s="10"/>
    </row>
    <row r="7" spans="2:13" x14ac:dyDescent="0.3">
      <c r="B7" s="4"/>
      <c r="C7" s="5"/>
      <c r="D7" s="77" t="s">
        <v>6</v>
      </c>
      <c r="E7" s="14" t="s">
        <v>172</v>
      </c>
      <c r="F7" s="11"/>
      <c r="G7" s="12"/>
      <c r="H7" s="9"/>
      <c r="I7" s="9"/>
      <c r="J7" s="9"/>
      <c r="K7" s="10"/>
    </row>
    <row r="8" spans="2:13" ht="62.25" customHeight="1" x14ac:dyDescent="0.3">
      <c r="B8" s="4"/>
      <c r="C8" s="5"/>
      <c r="D8" s="77" t="s">
        <v>7</v>
      </c>
      <c r="E8" s="313" t="s">
        <v>264</v>
      </c>
      <c r="F8" s="313"/>
      <c r="G8" s="313"/>
      <c r="H8" s="313"/>
      <c r="I8" s="313"/>
      <c r="J8" s="313"/>
      <c r="K8" s="314"/>
    </row>
    <row r="9" spans="2:13" x14ac:dyDescent="0.3">
      <c r="B9" s="4"/>
      <c r="C9" s="5"/>
      <c r="D9" s="77" t="s">
        <v>8</v>
      </c>
      <c r="E9" s="7" t="s">
        <v>174</v>
      </c>
      <c r="F9" s="8"/>
      <c r="G9" s="12"/>
      <c r="H9" s="9"/>
      <c r="I9" s="9"/>
      <c r="J9" s="9"/>
      <c r="K9" s="10"/>
    </row>
    <row r="10" spans="2:13" ht="17.25" thickBot="1" x14ac:dyDescent="0.35">
      <c r="B10" s="15"/>
      <c r="C10" s="16"/>
      <c r="D10" s="300" t="s">
        <v>9</v>
      </c>
      <c r="E10" s="301" t="s">
        <v>248</v>
      </c>
      <c r="F10" s="17"/>
      <c r="G10" s="18"/>
      <c r="H10" s="71"/>
      <c r="I10" s="72"/>
      <c r="J10" s="72"/>
      <c r="K10" s="299">
        <v>0.2399</v>
      </c>
    </row>
    <row r="11" spans="2:13" ht="17.25" thickBot="1" x14ac:dyDescent="0.35">
      <c r="B11" s="80"/>
      <c r="C11" s="303"/>
      <c r="D11" s="303"/>
      <c r="E11" s="81"/>
      <c r="F11" s="82"/>
      <c r="G11" s="80"/>
      <c r="H11" s="83"/>
      <c r="I11" s="84"/>
      <c r="J11" s="84"/>
      <c r="K11" s="84"/>
    </row>
    <row r="12" spans="2:13" x14ac:dyDescent="0.3">
      <c r="B12" s="91" t="s">
        <v>10</v>
      </c>
      <c r="C12" s="92" t="s">
        <v>11</v>
      </c>
      <c r="D12" s="93" t="s">
        <v>12</v>
      </c>
      <c r="E12" s="94" t="s">
        <v>13</v>
      </c>
      <c r="F12" s="95" t="s">
        <v>14</v>
      </c>
      <c r="G12" s="96" t="s">
        <v>15</v>
      </c>
      <c r="H12" s="97" t="s">
        <v>16</v>
      </c>
      <c r="I12" s="97" t="s">
        <v>17</v>
      </c>
      <c r="J12" s="154" t="s">
        <v>9</v>
      </c>
      <c r="K12" s="98" t="s">
        <v>18</v>
      </c>
    </row>
    <row r="13" spans="2:13" x14ac:dyDescent="0.3">
      <c r="B13" s="99">
        <v>1</v>
      </c>
      <c r="C13" s="19" t="s">
        <v>19</v>
      </c>
      <c r="D13" s="19">
        <v>20000</v>
      </c>
      <c r="E13" s="306" t="s">
        <v>22</v>
      </c>
      <c r="F13" s="307"/>
      <c r="G13" s="307"/>
      <c r="H13" s="307"/>
      <c r="I13" s="307"/>
      <c r="J13" s="307"/>
      <c r="K13" s="308"/>
    </row>
    <row r="14" spans="2:13" ht="33" customHeight="1" x14ac:dyDescent="0.3">
      <c r="B14" s="114" t="s">
        <v>167</v>
      </c>
      <c r="C14" s="112" t="s">
        <v>233</v>
      </c>
      <c r="D14" s="117">
        <v>99059</v>
      </c>
      <c r="E14" s="116" t="s">
        <v>234</v>
      </c>
      <c r="F14" s="110">
        <f>'MEMORIAL DE CÁLCULO'!E15</f>
        <v>38</v>
      </c>
      <c r="G14" s="108" t="s">
        <v>165</v>
      </c>
      <c r="H14" s="513">
        <v>54.5</v>
      </c>
      <c r="I14" s="499"/>
      <c r="J14" s="156" t="s">
        <v>249</v>
      </c>
      <c r="K14" s="129">
        <f t="shared" ref="K14:K19" si="0">(I14+H14)*F14</f>
        <v>2071</v>
      </c>
      <c r="M14" s="166">
        <f>(K14*K10)+K14</f>
        <v>2567.8328999999999</v>
      </c>
    </row>
    <row r="15" spans="2:13" ht="33" customHeight="1" x14ac:dyDescent="0.3">
      <c r="B15" s="149" t="s">
        <v>48</v>
      </c>
      <c r="C15" s="283" t="s">
        <v>19</v>
      </c>
      <c r="D15" s="126">
        <v>21301</v>
      </c>
      <c r="E15" s="188" t="s">
        <v>21</v>
      </c>
      <c r="F15" s="298">
        <f>'MEMORIAL DE CÁLCULO'!E19</f>
        <v>3</v>
      </c>
      <c r="G15" s="275" t="s">
        <v>20</v>
      </c>
      <c r="H15" s="495">
        <v>354.95</v>
      </c>
      <c r="I15" s="495">
        <v>2.25</v>
      </c>
      <c r="J15" s="162" t="s">
        <v>249</v>
      </c>
      <c r="K15" s="129">
        <f t="shared" si="0"/>
        <v>1071.5999999999999</v>
      </c>
      <c r="M15" s="166">
        <f>(K15*K10)+K15</f>
        <v>1328.6768399999999</v>
      </c>
    </row>
    <row r="16" spans="2:13" ht="45" customHeight="1" x14ac:dyDescent="0.3">
      <c r="B16" s="297" t="s">
        <v>196</v>
      </c>
      <c r="C16" s="150" t="s">
        <v>162</v>
      </c>
      <c r="D16" s="130">
        <v>10775</v>
      </c>
      <c r="E16" s="151" t="s">
        <v>161</v>
      </c>
      <c r="F16" s="152">
        <f>'MEMORIAL DE CÁLCULO'!E22</f>
        <v>2</v>
      </c>
      <c r="G16" s="153" t="s">
        <v>166</v>
      </c>
      <c r="H16" s="509">
        <v>830</v>
      </c>
      <c r="I16" s="510"/>
      <c r="J16" s="158" t="s">
        <v>249</v>
      </c>
      <c r="K16" s="148">
        <f t="shared" si="0"/>
        <v>1660</v>
      </c>
      <c r="M16" s="166">
        <f>(K16*K10)+K16</f>
        <v>2058.2339999999999</v>
      </c>
    </row>
    <row r="17" spans="2:14" x14ac:dyDescent="0.3">
      <c r="B17" s="149" t="s">
        <v>228</v>
      </c>
      <c r="C17" s="150" t="s">
        <v>197</v>
      </c>
      <c r="D17" s="130">
        <v>71707</v>
      </c>
      <c r="E17" s="151" t="s">
        <v>198</v>
      </c>
      <c r="F17" s="152">
        <f>'MEMORIAL DE CÁLCULO'!E25</f>
        <v>2</v>
      </c>
      <c r="G17" s="153" t="s">
        <v>199</v>
      </c>
      <c r="H17" s="509">
        <v>707.4</v>
      </c>
      <c r="I17" s="510"/>
      <c r="J17" s="161" t="s">
        <v>249</v>
      </c>
      <c r="K17" s="148">
        <f t="shared" si="0"/>
        <v>1414.8</v>
      </c>
      <c r="M17" s="166">
        <f>(K17*K10)+K17</f>
        <v>1754.2105200000001</v>
      </c>
    </row>
    <row r="18" spans="2:14" ht="33" customHeight="1" x14ac:dyDescent="0.3">
      <c r="B18" s="139" t="s">
        <v>229</v>
      </c>
      <c r="C18" s="150" t="s">
        <v>19</v>
      </c>
      <c r="D18" s="130">
        <v>20400</v>
      </c>
      <c r="E18" s="151" t="s">
        <v>237</v>
      </c>
      <c r="F18" s="152">
        <f>'MEMORIAL DE CÁLCULO'!E28</f>
        <v>1</v>
      </c>
      <c r="G18" s="153" t="s">
        <v>239</v>
      </c>
      <c r="H18" s="492">
        <v>1462.16</v>
      </c>
      <c r="I18" s="494">
        <v>1460.92</v>
      </c>
      <c r="J18" s="162" t="s">
        <v>249</v>
      </c>
      <c r="K18" s="148">
        <f t="shared" si="0"/>
        <v>2923.08</v>
      </c>
      <c r="M18" s="166">
        <f>(K18*K10)+K18</f>
        <v>3624.326892</v>
      </c>
    </row>
    <row r="19" spans="2:14" x14ac:dyDescent="0.3">
      <c r="B19" s="297" t="s">
        <v>231</v>
      </c>
      <c r="C19" s="150" t="s">
        <v>19</v>
      </c>
      <c r="D19" s="130">
        <v>20501</v>
      </c>
      <c r="E19" s="151" t="s">
        <v>238</v>
      </c>
      <c r="F19" s="152">
        <f>'MEMORIAL DE CÁLCULO'!E31</f>
        <v>1</v>
      </c>
      <c r="G19" s="153" t="s">
        <v>239</v>
      </c>
      <c r="H19" s="514">
        <v>4029.64</v>
      </c>
      <c r="I19" s="494">
        <v>544.33000000000004</v>
      </c>
      <c r="J19" s="158" t="s">
        <v>249</v>
      </c>
      <c r="K19" s="148">
        <f t="shared" si="0"/>
        <v>4573.97</v>
      </c>
      <c r="M19" s="166">
        <f>(K19*K10)+K19</f>
        <v>5671.2654030000003</v>
      </c>
    </row>
    <row r="20" spans="2:14" x14ac:dyDescent="0.3">
      <c r="B20" s="317" t="s">
        <v>23</v>
      </c>
      <c r="C20" s="318"/>
      <c r="D20" s="318"/>
      <c r="E20" s="318"/>
      <c r="F20" s="318"/>
      <c r="G20" s="318"/>
      <c r="H20" s="318"/>
      <c r="I20" s="318"/>
      <c r="J20" s="319"/>
      <c r="K20" s="100">
        <f>SUM(K14:K19)</f>
        <v>13714.45</v>
      </c>
      <c r="L20" s="20"/>
      <c r="M20" s="168">
        <f>(K20*K10)+K20</f>
        <v>17004.546555000001</v>
      </c>
      <c r="N20" s="20"/>
    </row>
    <row r="21" spans="2:14" x14ac:dyDescent="0.3">
      <c r="B21" s="101" t="s">
        <v>10</v>
      </c>
      <c r="C21" s="86" t="s">
        <v>11</v>
      </c>
      <c r="D21" s="87" t="s">
        <v>12</v>
      </c>
      <c r="E21" s="88" t="s">
        <v>13</v>
      </c>
      <c r="F21" s="89" t="s">
        <v>14</v>
      </c>
      <c r="G21" s="85" t="s">
        <v>15</v>
      </c>
      <c r="H21" s="90" t="s">
        <v>16</v>
      </c>
      <c r="I21" s="90" t="s">
        <v>17</v>
      </c>
      <c r="J21" s="155" t="s">
        <v>9</v>
      </c>
      <c r="K21" s="102" t="s">
        <v>18</v>
      </c>
      <c r="M21" s="166"/>
    </row>
    <row r="22" spans="2:14" x14ac:dyDescent="0.3">
      <c r="B22" s="103">
        <v>2</v>
      </c>
      <c r="C22" s="19" t="s">
        <v>19</v>
      </c>
      <c r="D22" s="19">
        <v>30000</v>
      </c>
      <c r="E22" s="306" t="s">
        <v>89</v>
      </c>
      <c r="F22" s="307"/>
      <c r="G22" s="307"/>
      <c r="H22" s="307"/>
      <c r="I22" s="307"/>
      <c r="J22" s="307"/>
      <c r="K22" s="308"/>
      <c r="M22" s="166"/>
    </row>
    <row r="23" spans="2:14" ht="45" customHeight="1" x14ac:dyDescent="0.3">
      <c r="B23" s="122" t="s">
        <v>49</v>
      </c>
      <c r="C23" s="117" t="s">
        <v>19</v>
      </c>
      <c r="D23" s="117">
        <v>30110</v>
      </c>
      <c r="E23" s="123" t="s">
        <v>159</v>
      </c>
      <c r="F23" s="124">
        <f>'MEMORIAL DE CÁLCULO'!E37</f>
        <v>9450</v>
      </c>
      <c r="G23" s="117" t="s">
        <v>90</v>
      </c>
      <c r="H23" s="488">
        <v>0.71</v>
      </c>
      <c r="I23" s="488">
        <v>0</v>
      </c>
      <c r="J23" s="160" t="s">
        <v>249</v>
      </c>
      <c r="K23" s="107">
        <f>(I23+H23)*F23</f>
        <v>6709.5</v>
      </c>
      <c r="L23" s="20"/>
      <c r="M23" s="166">
        <f>(K23*K10)+K23</f>
        <v>8319.1090499999991</v>
      </c>
      <c r="N23" s="20"/>
    </row>
    <row r="24" spans="2:14" ht="33" customHeight="1" x14ac:dyDescent="0.3">
      <c r="B24" s="125" t="s">
        <v>95</v>
      </c>
      <c r="C24" s="126" t="s">
        <v>19</v>
      </c>
      <c r="D24" s="126">
        <v>30112</v>
      </c>
      <c r="E24" s="127" t="s">
        <v>94</v>
      </c>
      <c r="F24" s="128">
        <f>'MEMORIAL DE CÁLCULO'!E40</f>
        <v>1</v>
      </c>
      <c r="G24" s="126" t="s">
        <v>91</v>
      </c>
      <c r="H24" s="495">
        <v>65.75</v>
      </c>
      <c r="I24" s="495">
        <v>65.22</v>
      </c>
      <c r="J24" s="162" t="s">
        <v>251</v>
      </c>
      <c r="K24" s="129">
        <f>(I24+H24)*F24</f>
        <v>130.97</v>
      </c>
      <c r="L24" s="20"/>
      <c r="M24" s="166">
        <f>(K24*K10)+K24</f>
        <v>162.389703</v>
      </c>
      <c r="N24" s="20"/>
    </row>
    <row r="25" spans="2:14" ht="33" customHeight="1" x14ac:dyDescent="0.3">
      <c r="B25" s="125" t="s">
        <v>96</v>
      </c>
      <c r="C25" s="126" t="s">
        <v>19</v>
      </c>
      <c r="D25" s="126">
        <v>30113</v>
      </c>
      <c r="E25" s="127" t="s">
        <v>160</v>
      </c>
      <c r="F25" s="128">
        <f>'MEMORIAL DE CÁLCULO'!E43</f>
        <v>1</v>
      </c>
      <c r="G25" s="126" t="s">
        <v>91</v>
      </c>
      <c r="H25" s="495">
        <v>65.75</v>
      </c>
      <c r="I25" s="495">
        <v>65.22</v>
      </c>
      <c r="J25" s="162" t="s">
        <v>249</v>
      </c>
      <c r="K25" s="129">
        <f>(I25+H25)*F25</f>
        <v>130.97</v>
      </c>
      <c r="L25" s="20"/>
      <c r="M25" s="166">
        <f>(K25*K10)+K25</f>
        <v>162.389703</v>
      </c>
      <c r="N25" s="20"/>
    </row>
    <row r="26" spans="2:14" ht="33" customHeight="1" x14ac:dyDescent="0.3">
      <c r="B26" s="125" t="s">
        <v>97</v>
      </c>
      <c r="C26" s="126" t="s">
        <v>19</v>
      </c>
      <c r="D26" s="126">
        <v>30114</v>
      </c>
      <c r="E26" s="127" t="s">
        <v>92</v>
      </c>
      <c r="F26" s="128">
        <f>'MEMORIAL DE CÁLCULO'!E46</f>
        <v>1</v>
      </c>
      <c r="G26" s="126" t="s">
        <v>91</v>
      </c>
      <c r="H26" s="495">
        <v>131.49</v>
      </c>
      <c r="I26" s="495">
        <v>130.44999999999999</v>
      </c>
      <c r="J26" s="162" t="s">
        <v>249</v>
      </c>
      <c r="K26" s="129">
        <f>(I26+H26)*F26</f>
        <v>261.94</v>
      </c>
      <c r="L26" s="20"/>
      <c r="M26" s="166">
        <f>(K26*K10)+K26</f>
        <v>324.77940599999999</v>
      </c>
      <c r="N26" s="20"/>
    </row>
    <row r="27" spans="2:14" ht="33" customHeight="1" x14ac:dyDescent="0.3">
      <c r="B27" s="125" t="s">
        <v>98</v>
      </c>
      <c r="C27" s="126" t="s">
        <v>19</v>
      </c>
      <c r="D27" s="126">
        <v>30116</v>
      </c>
      <c r="E27" s="127" t="s">
        <v>93</v>
      </c>
      <c r="F27" s="128">
        <f>'MEMORIAL DE CÁLCULO'!E49</f>
        <v>1</v>
      </c>
      <c r="G27" s="126" t="s">
        <v>91</v>
      </c>
      <c r="H27" s="495">
        <v>131.49</v>
      </c>
      <c r="I27" s="495">
        <v>130.44999999999999</v>
      </c>
      <c r="J27" s="161" t="s">
        <v>249</v>
      </c>
      <c r="K27" s="129">
        <f>(I27+H27)*F27</f>
        <v>261.94</v>
      </c>
      <c r="L27" s="20"/>
      <c r="M27" s="166">
        <f>(K27*K10)+K27</f>
        <v>324.77940599999999</v>
      </c>
      <c r="N27" s="20"/>
    </row>
    <row r="28" spans="2:14" x14ac:dyDescent="0.3">
      <c r="B28" s="125" t="s">
        <v>115</v>
      </c>
      <c r="C28" s="130" t="s">
        <v>169</v>
      </c>
      <c r="D28" s="165">
        <v>40193</v>
      </c>
      <c r="E28" s="131" t="s">
        <v>170</v>
      </c>
      <c r="F28" s="132">
        <f>'MEMORIAL DE CÁLCULO'!E52</f>
        <v>10</v>
      </c>
      <c r="G28" s="165" t="s">
        <v>116</v>
      </c>
      <c r="H28" s="509">
        <v>260.42</v>
      </c>
      <c r="I28" s="510"/>
      <c r="J28" s="162" t="s">
        <v>250</v>
      </c>
      <c r="K28" s="148">
        <f>H28*F28</f>
        <v>2604.2000000000003</v>
      </c>
      <c r="L28" s="20"/>
      <c r="M28" s="167">
        <f>K28</f>
        <v>2604.2000000000003</v>
      </c>
      <c r="N28" s="20"/>
    </row>
    <row r="29" spans="2:14" x14ac:dyDescent="0.3">
      <c r="B29" s="125" t="s">
        <v>168</v>
      </c>
      <c r="C29" s="130" t="s">
        <v>169</v>
      </c>
      <c r="D29" s="242">
        <v>45207</v>
      </c>
      <c r="E29" s="127" t="s">
        <v>181</v>
      </c>
      <c r="F29" s="128">
        <f>'MEMORIAL DE CÁLCULO'!E55</f>
        <v>210</v>
      </c>
      <c r="G29" s="242" t="s">
        <v>182</v>
      </c>
      <c r="H29" s="511">
        <v>5.19</v>
      </c>
      <c r="I29" s="512"/>
      <c r="J29" s="162" t="s">
        <v>250</v>
      </c>
      <c r="K29" s="129">
        <f>H29*F29</f>
        <v>1089.9000000000001</v>
      </c>
      <c r="L29" s="20"/>
      <c r="M29" s="167">
        <f>K29</f>
        <v>1089.9000000000001</v>
      </c>
      <c r="N29" s="20"/>
    </row>
    <row r="30" spans="2:14" x14ac:dyDescent="0.3">
      <c r="B30" s="125" t="s">
        <v>180</v>
      </c>
      <c r="C30" s="130" t="s">
        <v>169</v>
      </c>
      <c r="D30" s="242">
        <v>45206</v>
      </c>
      <c r="E30" s="127" t="s">
        <v>183</v>
      </c>
      <c r="F30" s="128">
        <f>'MEMORIAL DE CÁLCULO'!E59</f>
        <v>3150</v>
      </c>
      <c r="G30" s="242" t="s">
        <v>90</v>
      </c>
      <c r="H30" s="511">
        <v>0.99</v>
      </c>
      <c r="I30" s="512"/>
      <c r="J30" s="162" t="s">
        <v>250</v>
      </c>
      <c r="K30" s="129">
        <f>H30*F30</f>
        <v>3118.5</v>
      </c>
      <c r="L30" s="20"/>
      <c r="M30" s="167">
        <f>K30</f>
        <v>3118.5</v>
      </c>
      <c r="N30" s="20"/>
    </row>
    <row r="31" spans="2:14" x14ac:dyDescent="0.3">
      <c r="B31" s="317" t="s">
        <v>23</v>
      </c>
      <c r="C31" s="318"/>
      <c r="D31" s="318"/>
      <c r="E31" s="318"/>
      <c r="F31" s="318"/>
      <c r="G31" s="318"/>
      <c r="H31" s="318"/>
      <c r="I31" s="318"/>
      <c r="J31" s="319"/>
      <c r="K31" s="100">
        <f>SUM(K23:K30)</f>
        <v>14307.92</v>
      </c>
      <c r="L31" s="20"/>
      <c r="M31" s="169">
        <f>SUM(M23:M30)</f>
        <v>16106.047268</v>
      </c>
      <c r="N31" s="20"/>
    </row>
    <row r="32" spans="2:14" x14ac:dyDescent="0.3">
      <c r="B32" s="101" t="s">
        <v>10</v>
      </c>
      <c r="C32" s="86" t="s">
        <v>11</v>
      </c>
      <c r="D32" s="87" t="s">
        <v>12</v>
      </c>
      <c r="E32" s="88" t="s">
        <v>13</v>
      </c>
      <c r="F32" s="89" t="s">
        <v>14</v>
      </c>
      <c r="G32" s="85" t="s">
        <v>15</v>
      </c>
      <c r="H32" s="90" t="s">
        <v>16</v>
      </c>
      <c r="I32" s="90" t="s">
        <v>17</v>
      </c>
      <c r="J32" s="155" t="s">
        <v>9</v>
      </c>
      <c r="K32" s="102" t="s">
        <v>18</v>
      </c>
    </row>
    <row r="33" spans="2:14" x14ac:dyDescent="0.3">
      <c r="B33" s="103">
        <v>3</v>
      </c>
      <c r="C33" s="19" t="s">
        <v>19</v>
      </c>
      <c r="D33" s="19">
        <v>52</v>
      </c>
      <c r="E33" s="306" t="s">
        <v>24</v>
      </c>
      <c r="F33" s="307"/>
      <c r="G33" s="307"/>
      <c r="H33" s="307"/>
      <c r="I33" s="307"/>
      <c r="J33" s="307"/>
      <c r="K33" s="308"/>
    </row>
    <row r="34" spans="2:14" x14ac:dyDescent="0.3">
      <c r="B34" s="266" t="s">
        <v>50</v>
      </c>
      <c r="C34" s="117" t="s">
        <v>19</v>
      </c>
      <c r="D34" s="108">
        <v>50301</v>
      </c>
      <c r="E34" s="267" t="s">
        <v>206</v>
      </c>
      <c r="F34" s="268">
        <f>'MEMORIAL DE CÁLCULO'!E65</f>
        <v>8</v>
      </c>
      <c r="G34" s="269" t="s">
        <v>165</v>
      </c>
      <c r="H34" s="508">
        <v>19.91</v>
      </c>
      <c r="I34" s="488">
        <v>20.78</v>
      </c>
      <c r="J34" s="264" t="s">
        <v>249</v>
      </c>
      <c r="K34" s="265">
        <f>(H34+I34)*F34</f>
        <v>325.52</v>
      </c>
      <c r="M34" s="170">
        <f>(K34*K10)+K34</f>
        <v>403.61224799999997</v>
      </c>
    </row>
    <row r="35" spans="2:14" x14ac:dyDescent="0.3">
      <c r="B35" s="274" t="s">
        <v>201</v>
      </c>
      <c r="C35" s="126" t="s">
        <v>169</v>
      </c>
      <c r="D35" s="275">
        <v>45052</v>
      </c>
      <c r="E35" s="276" t="s">
        <v>27</v>
      </c>
      <c r="F35" s="277">
        <f>'MEMORIAL DE CÁLCULO'!E71</f>
        <v>10.048000000000002</v>
      </c>
      <c r="G35" s="278" t="s">
        <v>26</v>
      </c>
      <c r="H35" s="504">
        <v>651.99</v>
      </c>
      <c r="I35" s="505"/>
      <c r="J35" s="273" t="s">
        <v>250</v>
      </c>
      <c r="K35" s="272">
        <f>(H35)*F35</f>
        <v>6551.1955200000011</v>
      </c>
      <c r="M35" s="167">
        <f>K35</f>
        <v>6551.1955200000011</v>
      </c>
    </row>
    <row r="36" spans="2:14" ht="33" customHeight="1" x14ac:dyDescent="0.3">
      <c r="B36" s="270" t="s">
        <v>205</v>
      </c>
      <c r="C36" s="118" t="s">
        <v>169</v>
      </c>
      <c r="D36" s="109">
        <v>45045</v>
      </c>
      <c r="E36" s="222" t="s">
        <v>202</v>
      </c>
      <c r="F36" s="262">
        <f>'MEMORIAL DE CÁLCULO'!E81</f>
        <v>183.68196</v>
      </c>
      <c r="G36" s="263" t="s">
        <v>175</v>
      </c>
      <c r="H36" s="506">
        <v>15.52</v>
      </c>
      <c r="I36" s="507"/>
      <c r="J36" s="260" t="s">
        <v>250</v>
      </c>
      <c r="K36" s="261">
        <f>(H36)*F36</f>
        <v>2850.7440191999999</v>
      </c>
      <c r="M36" s="167">
        <f>K36</f>
        <v>2850.7440191999999</v>
      </c>
    </row>
    <row r="37" spans="2:14" x14ac:dyDescent="0.3">
      <c r="B37" s="317" t="s">
        <v>23</v>
      </c>
      <c r="C37" s="318"/>
      <c r="D37" s="318"/>
      <c r="E37" s="318"/>
      <c r="F37" s="318"/>
      <c r="G37" s="318"/>
      <c r="H37" s="318"/>
      <c r="I37" s="318"/>
      <c r="J37" s="319"/>
      <c r="K37" s="100">
        <f>SUM(K34:K36)</f>
        <v>9727.459539200001</v>
      </c>
      <c r="L37" s="20"/>
      <c r="M37" s="169">
        <f>SUM(M34:M36)</f>
        <v>9805.5517872000019</v>
      </c>
      <c r="N37" s="20"/>
    </row>
    <row r="38" spans="2:14" x14ac:dyDescent="0.3">
      <c r="B38" s="101" t="s">
        <v>10</v>
      </c>
      <c r="C38" s="86" t="s">
        <v>11</v>
      </c>
      <c r="D38" s="87" t="s">
        <v>12</v>
      </c>
      <c r="E38" s="88" t="s">
        <v>13</v>
      </c>
      <c r="F38" s="89" t="s">
        <v>14</v>
      </c>
      <c r="G38" s="85" t="s">
        <v>15</v>
      </c>
      <c r="H38" s="90" t="s">
        <v>16</v>
      </c>
      <c r="I38" s="90" t="s">
        <v>17</v>
      </c>
      <c r="J38" s="155" t="s">
        <v>9</v>
      </c>
      <c r="K38" s="102" t="s">
        <v>18</v>
      </c>
    </row>
    <row r="39" spans="2:14" x14ac:dyDescent="0.3">
      <c r="B39" s="103">
        <v>4</v>
      </c>
      <c r="C39" s="19" t="s">
        <v>19</v>
      </c>
      <c r="D39" s="19">
        <v>53</v>
      </c>
      <c r="E39" s="306" t="s">
        <v>28</v>
      </c>
      <c r="F39" s="307"/>
      <c r="G39" s="307"/>
      <c r="H39" s="307"/>
      <c r="I39" s="307"/>
      <c r="J39" s="307"/>
      <c r="K39" s="308"/>
    </row>
    <row r="40" spans="2:14" x14ac:dyDescent="0.3">
      <c r="B40" s="138" t="s">
        <v>51</v>
      </c>
      <c r="C40" s="137" t="s">
        <v>169</v>
      </c>
      <c r="D40" s="133">
        <v>45070</v>
      </c>
      <c r="E40" s="136" t="s">
        <v>29</v>
      </c>
      <c r="F40" s="135">
        <f>'MEMORIAL DE CÁLCULO'!E89</f>
        <v>10.048000000000002</v>
      </c>
      <c r="G40" s="119" t="s">
        <v>30</v>
      </c>
      <c r="H40" s="502">
        <v>1162.73</v>
      </c>
      <c r="I40" s="503"/>
      <c r="J40" s="163" t="s">
        <v>250</v>
      </c>
      <c r="K40" s="134">
        <f>H40*F40</f>
        <v>11683.111040000002</v>
      </c>
      <c r="M40" s="167">
        <f>K40</f>
        <v>11683.111040000002</v>
      </c>
    </row>
    <row r="41" spans="2:14" x14ac:dyDescent="0.3">
      <c r="B41" s="317" t="s">
        <v>23</v>
      </c>
      <c r="C41" s="318"/>
      <c r="D41" s="318"/>
      <c r="E41" s="318"/>
      <c r="F41" s="318"/>
      <c r="G41" s="318"/>
      <c r="H41" s="318"/>
      <c r="I41" s="318"/>
      <c r="J41" s="319"/>
      <c r="K41" s="100">
        <f>K40</f>
        <v>11683.111040000002</v>
      </c>
      <c r="L41" s="20"/>
      <c r="M41" s="169">
        <f>M40</f>
        <v>11683.111040000002</v>
      </c>
      <c r="N41" s="20"/>
    </row>
    <row r="42" spans="2:14" x14ac:dyDescent="0.3">
      <c r="B42" s="101" t="s">
        <v>10</v>
      </c>
      <c r="C42" s="86" t="s">
        <v>11</v>
      </c>
      <c r="D42" s="87" t="s">
        <v>12</v>
      </c>
      <c r="E42" s="88" t="s">
        <v>13</v>
      </c>
      <c r="F42" s="89" t="s">
        <v>14</v>
      </c>
      <c r="G42" s="85" t="s">
        <v>15</v>
      </c>
      <c r="H42" s="90" t="s">
        <v>16</v>
      </c>
      <c r="I42" s="90" t="s">
        <v>17</v>
      </c>
      <c r="J42" s="155" t="s">
        <v>9</v>
      </c>
      <c r="K42" s="102" t="s">
        <v>18</v>
      </c>
    </row>
    <row r="43" spans="2:14" x14ac:dyDescent="0.3">
      <c r="B43" s="103">
        <v>5</v>
      </c>
      <c r="C43" s="19" t="s">
        <v>19</v>
      </c>
      <c r="D43" s="19">
        <v>55</v>
      </c>
      <c r="E43" s="306" t="s">
        <v>31</v>
      </c>
      <c r="F43" s="307"/>
      <c r="G43" s="307"/>
      <c r="H43" s="307"/>
      <c r="I43" s="307"/>
      <c r="J43" s="307"/>
      <c r="K43" s="308"/>
    </row>
    <row r="44" spans="2:14" x14ac:dyDescent="0.3">
      <c r="B44" s="114" t="s">
        <v>52</v>
      </c>
      <c r="C44" s="174" t="s">
        <v>169</v>
      </c>
      <c r="D44" s="117">
        <v>45110</v>
      </c>
      <c r="E44" s="140" t="s">
        <v>25</v>
      </c>
      <c r="F44" s="124">
        <f>'MEMORIAL DE CÁLCULO'!E96</f>
        <v>51.919999999999995</v>
      </c>
      <c r="G44" s="117" t="s">
        <v>20</v>
      </c>
      <c r="H44" s="490">
        <v>101.36</v>
      </c>
      <c r="I44" s="491"/>
      <c r="J44" s="160" t="s">
        <v>250</v>
      </c>
      <c r="K44" s="107">
        <f>H44*F44</f>
        <v>5262.6111999999994</v>
      </c>
      <c r="M44" s="167">
        <f>K44</f>
        <v>5262.6111999999994</v>
      </c>
    </row>
    <row r="45" spans="2:14" ht="33" customHeight="1" x14ac:dyDescent="0.3">
      <c r="B45" s="139" t="s">
        <v>99</v>
      </c>
      <c r="C45" s="130" t="s">
        <v>169</v>
      </c>
      <c r="D45" s="126">
        <v>45120</v>
      </c>
      <c r="E45" s="127" t="s">
        <v>87</v>
      </c>
      <c r="F45" s="128">
        <f>'MEMORIAL DE CÁLCULO'!E111</f>
        <v>414.72424400000006</v>
      </c>
      <c r="G45" s="126" t="s">
        <v>32</v>
      </c>
      <c r="H45" s="504">
        <v>15.52</v>
      </c>
      <c r="I45" s="505"/>
      <c r="J45" s="164" t="s">
        <v>250</v>
      </c>
      <c r="K45" s="129">
        <f>H45*F45</f>
        <v>6436.5202668800002</v>
      </c>
      <c r="M45" s="167">
        <f>K45</f>
        <v>6436.5202668800002</v>
      </c>
    </row>
    <row r="46" spans="2:14" x14ac:dyDescent="0.3">
      <c r="B46" s="115" t="s">
        <v>100</v>
      </c>
      <c r="C46" s="146" t="s">
        <v>169</v>
      </c>
      <c r="D46" s="118">
        <v>45131</v>
      </c>
      <c r="E46" s="141" t="s">
        <v>33</v>
      </c>
      <c r="F46" s="121">
        <f>'MEMORIAL DE CÁLCULO'!E116</f>
        <v>6.0710000000000006</v>
      </c>
      <c r="G46" s="118" t="s">
        <v>26</v>
      </c>
      <c r="H46" s="506">
        <v>691.28</v>
      </c>
      <c r="I46" s="507"/>
      <c r="J46" s="157" t="s">
        <v>250</v>
      </c>
      <c r="K46" s="106">
        <f>H46*F46</f>
        <v>4196.7608799999998</v>
      </c>
      <c r="M46" s="167">
        <f>K46</f>
        <v>4196.7608799999998</v>
      </c>
    </row>
    <row r="47" spans="2:14" x14ac:dyDescent="0.3">
      <c r="B47" s="317" t="s">
        <v>23</v>
      </c>
      <c r="C47" s="318"/>
      <c r="D47" s="318"/>
      <c r="E47" s="318"/>
      <c r="F47" s="318"/>
      <c r="G47" s="318"/>
      <c r="H47" s="318"/>
      <c r="I47" s="318"/>
      <c r="J47" s="319"/>
      <c r="K47" s="100">
        <f>SUM(K44:K46)</f>
        <v>15895.89234688</v>
      </c>
      <c r="L47" s="20"/>
      <c r="M47" s="168">
        <f>SUM(M44:M46)</f>
        <v>15895.89234688</v>
      </c>
      <c r="N47" s="20"/>
    </row>
    <row r="48" spans="2:14" x14ac:dyDescent="0.3">
      <c r="B48" s="101" t="s">
        <v>10</v>
      </c>
      <c r="C48" s="86" t="s">
        <v>11</v>
      </c>
      <c r="D48" s="87" t="s">
        <v>12</v>
      </c>
      <c r="E48" s="88" t="s">
        <v>13</v>
      </c>
      <c r="F48" s="89" t="s">
        <v>14</v>
      </c>
      <c r="G48" s="85" t="s">
        <v>15</v>
      </c>
      <c r="H48" s="90" t="s">
        <v>16</v>
      </c>
      <c r="I48" s="90" t="s">
        <v>17</v>
      </c>
      <c r="J48" s="155" t="s">
        <v>9</v>
      </c>
      <c r="K48" s="102" t="s">
        <v>18</v>
      </c>
    </row>
    <row r="49" spans="2:14" x14ac:dyDescent="0.3">
      <c r="B49" s="103">
        <v>6</v>
      </c>
      <c r="C49" s="19" t="s">
        <v>19</v>
      </c>
      <c r="D49" s="19">
        <v>56</v>
      </c>
      <c r="E49" s="306" t="s">
        <v>34</v>
      </c>
      <c r="F49" s="307"/>
      <c r="G49" s="307"/>
      <c r="H49" s="307"/>
      <c r="I49" s="307"/>
      <c r="J49" s="307"/>
      <c r="K49" s="308"/>
    </row>
    <row r="50" spans="2:14" x14ac:dyDescent="0.3">
      <c r="B50" s="143" t="s">
        <v>53</v>
      </c>
      <c r="C50" s="119" t="s">
        <v>169</v>
      </c>
      <c r="D50" s="119">
        <v>45135</v>
      </c>
      <c r="E50" s="136" t="s">
        <v>35</v>
      </c>
      <c r="F50" s="142">
        <f>'MEMORIAL DE CÁLCULO'!E122</f>
        <v>80</v>
      </c>
      <c r="G50" s="133" t="s">
        <v>36</v>
      </c>
      <c r="H50" s="502">
        <v>74.61</v>
      </c>
      <c r="I50" s="503"/>
      <c r="J50" s="163" t="s">
        <v>250</v>
      </c>
      <c r="K50" s="134">
        <f>H50*F50</f>
        <v>5968.8</v>
      </c>
      <c r="M50" s="167">
        <f>K50</f>
        <v>5968.8</v>
      </c>
    </row>
    <row r="51" spans="2:14" x14ac:dyDescent="0.3">
      <c r="B51" s="317" t="s">
        <v>23</v>
      </c>
      <c r="C51" s="318"/>
      <c r="D51" s="318"/>
      <c r="E51" s="318"/>
      <c r="F51" s="318"/>
      <c r="G51" s="318"/>
      <c r="H51" s="318"/>
      <c r="I51" s="318"/>
      <c r="J51" s="319"/>
      <c r="K51" s="100">
        <f>K50</f>
        <v>5968.8</v>
      </c>
      <c r="L51" s="20"/>
      <c r="M51" s="171">
        <f>M50</f>
        <v>5968.8</v>
      </c>
      <c r="N51" s="20"/>
    </row>
    <row r="52" spans="2:14" x14ac:dyDescent="0.3">
      <c r="B52" s="101" t="s">
        <v>10</v>
      </c>
      <c r="C52" s="86" t="s">
        <v>11</v>
      </c>
      <c r="D52" s="87" t="s">
        <v>12</v>
      </c>
      <c r="E52" s="88" t="s">
        <v>13</v>
      </c>
      <c r="F52" s="89" t="s">
        <v>14</v>
      </c>
      <c r="G52" s="85" t="s">
        <v>15</v>
      </c>
      <c r="H52" s="90" t="s">
        <v>16</v>
      </c>
      <c r="I52" s="90" t="s">
        <v>17</v>
      </c>
      <c r="J52" s="155" t="s">
        <v>9</v>
      </c>
      <c r="K52" s="102" t="s">
        <v>18</v>
      </c>
    </row>
    <row r="53" spans="2:14" x14ac:dyDescent="0.3">
      <c r="B53" s="103">
        <v>7</v>
      </c>
      <c r="C53" s="19" t="s">
        <v>19</v>
      </c>
      <c r="D53" s="19">
        <v>57</v>
      </c>
      <c r="E53" s="306" t="s">
        <v>37</v>
      </c>
      <c r="F53" s="307"/>
      <c r="G53" s="307"/>
      <c r="H53" s="307"/>
      <c r="I53" s="307"/>
      <c r="J53" s="307"/>
      <c r="K53" s="308"/>
    </row>
    <row r="54" spans="2:14" x14ac:dyDescent="0.3">
      <c r="B54" s="114" t="s">
        <v>54</v>
      </c>
      <c r="C54" s="315" t="s">
        <v>43</v>
      </c>
      <c r="D54" s="316"/>
      <c r="E54" s="145" t="s">
        <v>111</v>
      </c>
      <c r="F54" s="110">
        <f>'MEMORIAL DE CÁLCULO'!E127</f>
        <v>5</v>
      </c>
      <c r="G54" s="112" t="s">
        <v>42</v>
      </c>
      <c r="H54" s="498">
        <f>(18300+14430+23010)/3</f>
        <v>18580</v>
      </c>
      <c r="I54" s="499"/>
      <c r="J54" s="156" t="s">
        <v>249</v>
      </c>
      <c r="K54" s="107">
        <f>F54*H54</f>
        <v>92900</v>
      </c>
      <c r="M54" s="170">
        <f>(K54*K10)+K54</f>
        <v>115186.70999999999</v>
      </c>
    </row>
    <row r="55" spans="2:14" x14ac:dyDescent="0.3">
      <c r="B55" s="115" t="s">
        <v>117</v>
      </c>
      <c r="C55" s="109" t="s">
        <v>114</v>
      </c>
      <c r="D55" s="146" t="s">
        <v>121</v>
      </c>
      <c r="E55" s="144" t="s">
        <v>179</v>
      </c>
      <c r="F55" s="111">
        <f>'MEMORIAL DE CÁLCULO'!E131</f>
        <v>16</v>
      </c>
      <c r="G55" s="113" t="s">
        <v>165</v>
      </c>
      <c r="H55" s="500">
        <v>337.84</v>
      </c>
      <c r="I55" s="501"/>
      <c r="J55" s="159" t="s">
        <v>249</v>
      </c>
      <c r="K55" s="106">
        <f>F55*H55</f>
        <v>5405.44</v>
      </c>
      <c r="M55" s="170">
        <f>(K55*K10)+K55</f>
        <v>6702.2050559999998</v>
      </c>
    </row>
    <row r="56" spans="2:14" x14ac:dyDescent="0.3">
      <c r="B56" s="317" t="s">
        <v>23</v>
      </c>
      <c r="C56" s="318"/>
      <c r="D56" s="318"/>
      <c r="E56" s="318"/>
      <c r="F56" s="318"/>
      <c r="G56" s="318"/>
      <c r="H56" s="318"/>
      <c r="I56" s="318"/>
      <c r="J56" s="319"/>
      <c r="K56" s="100">
        <f>SUM(K54:K55)</f>
        <v>98305.44</v>
      </c>
      <c r="L56" s="20"/>
      <c r="M56" s="168">
        <f>SUM(M54:M55)</f>
        <v>121888.915056</v>
      </c>
      <c r="N56" s="20"/>
    </row>
    <row r="57" spans="2:14" x14ac:dyDescent="0.3">
      <c r="B57" s="101" t="s">
        <v>10</v>
      </c>
      <c r="C57" s="86" t="s">
        <v>11</v>
      </c>
      <c r="D57" s="87" t="s">
        <v>12</v>
      </c>
      <c r="E57" s="88" t="s">
        <v>13</v>
      </c>
      <c r="F57" s="89" t="s">
        <v>14</v>
      </c>
      <c r="G57" s="85" t="s">
        <v>15</v>
      </c>
      <c r="H57" s="90" t="s">
        <v>16</v>
      </c>
      <c r="I57" s="90" t="s">
        <v>17</v>
      </c>
      <c r="J57" s="155" t="s">
        <v>9</v>
      </c>
      <c r="K57" s="102" t="s">
        <v>18</v>
      </c>
    </row>
    <row r="58" spans="2:14" x14ac:dyDescent="0.3">
      <c r="B58" s="103">
        <v>8</v>
      </c>
      <c r="C58" s="19" t="s">
        <v>19</v>
      </c>
      <c r="D58" s="19">
        <v>61</v>
      </c>
      <c r="E58" s="306" t="s">
        <v>38</v>
      </c>
      <c r="F58" s="307"/>
      <c r="G58" s="307"/>
      <c r="H58" s="307"/>
      <c r="I58" s="307"/>
      <c r="J58" s="307"/>
      <c r="K58" s="308"/>
    </row>
    <row r="59" spans="2:14" x14ac:dyDescent="0.3">
      <c r="B59" s="114" t="s">
        <v>101</v>
      </c>
      <c r="C59" s="117" t="s">
        <v>169</v>
      </c>
      <c r="D59" s="117">
        <v>45235</v>
      </c>
      <c r="E59" s="140" t="s">
        <v>39</v>
      </c>
      <c r="F59" s="124">
        <f>'MEMORIAL DE CÁLCULO'!E139</f>
        <v>22.225000000000001</v>
      </c>
      <c r="G59" s="117" t="s">
        <v>40</v>
      </c>
      <c r="H59" s="490">
        <v>46.38</v>
      </c>
      <c r="I59" s="491"/>
      <c r="J59" s="156" t="s">
        <v>250</v>
      </c>
      <c r="K59" s="107">
        <f>F59*H59</f>
        <v>1030.7955000000002</v>
      </c>
      <c r="M59" s="167">
        <f>K59</f>
        <v>1030.7955000000002</v>
      </c>
    </row>
    <row r="60" spans="2:14" x14ac:dyDescent="0.3">
      <c r="B60" s="139" t="s">
        <v>102</v>
      </c>
      <c r="C60" s="126" t="s">
        <v>19</v>
      </c>
      <c r="D60" s="126">
        <v>270811</v>
      </c>
      <c r="E60" s="147" t="s">
        <v>82</v>
      </c>
      <c r="F60" s="128">
        <f>'MEMORIAL DE CÁLCULO'!E142</f>
        <v>1</v>
      </c>
      <c r="G60" s="126" t="s">
        <v>83</v>
      </c>
      <c r="H60" s="492">
        <v>258.8</v>
      </c>
      <c r="I60" s="493">
        <v>350.76</v>
      </c>
      <c r="J60" s="158" t="s">
        <v>249</v>
      </c>
      <c r="K60" s="129">
        <f>(H60+I60)*F60</f>
        <v>609.55999999999995</v>
      </c>
      <c r="M60" s="170">
        <f>(K60*K10)+K60</f>
        <v>755.79344399999991</v>
      </c>
    </row>
    <row r="61" spans="2:14" x14ac:dyDescent="0.3">
      <c r="B61" s="149" t="s">
        <v>103</v>
      </c>
      <c r="C61" s="130" t="s">
        <v>19</v>
      </c>
      <c r="D61" s="130">
        <v>270810</v>
      </c>
      <c r="E61" s="245" t="s">
        <v>86</v>
      </c>
      <c r="F61" s="132">
        <f>'MEMORIAL DE CÁLCULO'!E145</f>
        <v>1</v>
      </c>
      <c r="G61" s="130" t="s">
        <v>83</v>
      </c>
      <c r="H61" s="492">
        <v>800.88</v>
      </c>
      <c r="I61" s="494">
        <v>4.51</v>
      </c>
      <c r="J61" s="162" t="s">
        <v>249</v>
      </c>
      <c r="K61" s="148">
        <f>(H61+I61)*F61</f>
        <v>805.39</v>
      </c>
      <c r="M61" s="170">
        <f>(K61*K10)+K61</f>
        <v>998.60306100000003</v>
      </c>
    </row>
    <row r="62" spans="2:14" x14ac:dyDescent="0.3">
      <c r="B62" s="149" t="s">
        <v>185</v>
      </c>
      <c r="C62" s="130" t="s">
        <v>19</v>
      </c>
      <c r="D62" s="126">
        <v>40902</v>
      </c>
      <c r="E62" s="147" t="s">
        <v>190</v>
      </c>
      <c r="F62" s="128">
        <f>'MEMORIAL DE CÁLCULO'!E150</f>
        <v>84</v>
      </c>
      <c r="G62" s="126" t="s">
        <v>30</v>
      </c>
      <c r="H62" s="495">
        <v>0</v>
      </c>
      <c r="I62" s="493">
        <v>18.05</v>
      </c>
      <c r="J62" s="162" t="s">
        <v>249</v>
      </c>
      <c r="K62" s="148">
        <f>(H62+I62)*F62</f>
        <v>1516.2</v>
      </c>
      <c r="M62" s="170">
        <f>(K62*K10)+K62</f>
        <v>1879.9363800000001</v>
      </c>
    </row>
    <row r="63" spans="2:14" x14ac:dyDescent="0.3">
      <c r="B63" s="149" t="s">
        <v>186</v>
      </c>
      <c r="C63" s="130" t="s">
        <v>162</v>
      </c>
      <c r="D63" s="126">
        <v>6081</v>
      </c>
      <c r="E63" s="147" t="s">
        <v>191</v>
      </c>
      <c r="F63" s="128">
        <f>'MEMORIAL DE CÁLCULO'!E155</f>
        <v>161.19999999999999</v>
      </c>
      <c r="G63" s="126" t="s">
        <v>30</v>
      </c>
      <c r="H63" s="496">
        <v>52.19</v>
      </c>
      <c r="I63" s="497"/>
      <c r="J63" s="158" t="s">
        <v>249</v>
      </c>
      <c r="K63" s="148">
        <f>(H63+I63)*F63</f>
        <v>8413.0279999999984</v>
      </c>
      <c r="M63" s="170">
        <f>(K63*K10)+K63</f>
        <v>10431.313417199997</v>
      </c>
    </row>
    <row r="64" spans="2:14" x14ac:dyDescent="0.3">
      <c r="B64" s="317" t="s">
        <v>23</v>
      </c>
      <c r="C64" s="318"/>
      <c r="D64" s="318"/>
      <c r="E64" s="318"/>
      <c r="F64" s="318"/>
      <c r="G64" s="318"/>
      <c r="H64" s="318"/>
      <c r="I64" s="318"/>
      <c r="J64" s="319"/>
      <c r="K64" s="100">
        <f>SUM(K59:K63)</f>
        <v>12374.973499999998</v>
      </c>
      <c r="L64" s="20"/>
      <c r="M64" s="169">
        <f>SUM(M59:M63)</f>
        <v>15096.441802199997</v>
      </c>
      <c r="N64" s="20"/>
    </row>
    <row r="65" spans="1:13" x14ac:dyDescent="0.3">
      <c r="B65" s="101" t="s">
        <v>10</v>
      </c>
      <c r="C65" s="86" t="s">
        <v>11</v>
      </c>
      <c r="D65" s="87" t="s">
        <v>12</v>
      </c>
      <c r="E65" s="88" t="s">
        <v>13</v>
      </c>
      <c r="F65" s="89" t="s">
        <v>14</v>
      </c>
      <c r="G65" s="85" t="s">
        <v>15</v>
      </c>
      <c r="H65" s="90" t="s">
        <v>16</v>
      </c>
      <c r="I65" s="90" t="s">
        <v>17</v>
      </c>
      <c r="J65" s="155" t="s">
        <v>9</v>
      </c>
      <c r="K65" s="102" t="s">
        <v>18</v>
      </c>
      <c r="M65" s="172"/>
    </row>
    <row r="66" spans="1:13" x14ac:dyDescent="0.3">
      <c r="B66" s="103">
        <v>9</v>
      </c>
      <c r="C66" s="19" t="s">
        <v>19</v>
      </c>
      <c r="D66" s="19">
        <v>56</v>
      </c>
      <c r="E66" s="306" t="s">
        <v>118</v>
      </c>
      <c r="F66" s="307"/>
      <c r="G66" s="307"/>
      <c r="H66" s="307"/>
      <c r="I66" s="307"/>
      <c r="J66" s="307"/>
      <c r="K66" s="308"/>
    </row>
    <row r="67" spans="1:13" x14ac:dyDescent="0.3">
      <c r="B67" s="266" t="s">
        <v>120</v>
      </c>
      <c r="C67" s="117" t="s">
        <v>19</v>
      </c>
      <c r="D67" s="117">
        <v>250101</v>
      </c>
      <c r="E67" s="140" t="s">
        <v>119</v>
      </c>
      <c r="F67" s="110">
        <f>'MEMORIAL DE CÁLCULO'!E161</f>
        <v>100</v>
      </c>
      <c r="G67" s="108" t="s">
        <v>116</v>
      </c>
      <c r="H67" s="488">
        <v>0</v>
      </c>
      <c r="I67" s="488">
        <v>71.05</v>
      </c>
      <c r="J67" s="264" t="s">
        <v>249</v>
      </c>
      <c r="K67" s="265">
        <f>(I67+H67)*F67</f>
        <v>7105</v>
      </c>
      <c r="M67" s="166">
        <f>(K67*K10)+K67</f>
        <v>8809.4894999999997</v>
      </c>
    </row>
    <row r="68" spans="1:13" x14ac:dyDescent="0.3">
      <c r="B68" s="271" t="s">
        <v>203</v>
      </c>
      <c r="C68" s="118" t="s">
        <v>19</v>
      </c>
      <c r="D68" s="118">
        <v>250103</v>
      </c>
      <c r="E68" s="141" t="s">
        <v>204</v>
      </c>
      <c r="F68" s="111">
        <f>'MEMORIAL DE CÁLCULO'!E165</f>
        <v>320</v>
      </c>
      <c r="G68" s="109" t="s">
        <v>116</v>
      </c>
      <c r="H68" s="489">
        <v>0</v>
      </c>
      <c r="I68" s="489">
        <v>20.39</v>
      </c>
      <c r="J68" s="260" t="s">
        <v>249</v>
      </c>
      <c r="K68" s="272">
        <f>(I68+H68)*F68</f>
        <v>6524.8</v>
      </c>
      <c r="M68" s="166">
        <f>(K68*K10)+K68</f>
        <v>8090.0995199999998</v>
      </c>
    </row>
    <row r="69" spans="1:13" x14ac:dyDescent="0.3">
      <c r="B69" s="317" t="s">
        <v>23</v>
      </c>
      <c r="C69" s="318"/>
      <c r="D69" s="318"/>
      <c r="E69" s="318"/>
      <c r="F69" s="318"/>
      <c r="G69" s="318"/>
      <c r="H69" s="318"/>
      <c r="I69" s="318"/>
      <c r="J69" s="319"/>
      <c r="K69" s="100">
        <f>SUM(K67:K68)</f>
        <v>13629.8</v>
      </c>
      <c r="M69" s="168">
        <f>SUM(M67:M68)</f>
        <v>16899.589019999999</v>
      </c>
    </row>
    <row r="70" spans="1:13" x14ac:dyDescent="0.3">
      <c r="A70" s="23"/>
      <c r="B70" s="317" t="s">
        <v>18</v>
      </c>
      <c r="C70" s="318"/>
      <c r="D70" s="318"/>
      <c r="E70" s="318"/>
      <c r="F70" s="318"/>
      <c r="G70" s="318"/>
      <c r="H70" s="318"/>
      <c r="I70" s="318"/>
      <c r="J70" s="319"/>
      <c r="K70" s="104">
        <f>K64+K56+K51+K47+K41+K37+K20+K31+K69</f>
        <v>195607.84642608001</v>
      </c>
    </row>
    <row r="71" spans="1:13" x14ac:dyDescent="0.3">
      <c r="A71" s="23"/>
      <c r="B71" s="317" t="s">
        <v>164</v>
      </c>
      <c r="C71" s="318"/>
      <c r="D71" s="318"/>
      <c r="E71" s="318"/>
      <c r="F71" s="318"/>
      <c r="G71" s="318"/>
      <c r="H71" s="318"/>
      <c r="I71" s="318"/>
      <c r="J71" s="319"/>
      <c r="K71" s="173">
        <f>(K20+K23+K24+K25+K26+K27+K56+K60+K61+K62+K63+K67+K68+K34)*0.2399</f>
        <v>34741.048449199996</v>
      </c>
    </row>
    <row r="72" spans="1:13" ht="17.25" thickBot="1" x14ac:dyDescent="0.35">
      <c r="A72" s="23"/>
      <c r="B72" s="321" t="s">
        <v>163</v>
      </c>
      <c r="C72" s="322"/>
      <c r="D72" s="322"/>
      <c r="E72" s="322"/>
      <c r="F72" s="322"/>
      <c r="G72" s="322"/>
      <c r="H72" s="322"/>
      <c r="I72" s="322"/>
      <c r="J72" s="323"/>
      <c r="K72" s="105">
        <f>K70+K71</f>
        <v>230348.89487528001</v>
      </c>
    </row>
    <row r="74" spans="1:13" ht="29.25" customHeight="1" x14ac:dyDescent="0.3">
      <c r="B74" s="320" t="s">
        <v>195</v>
      </c>
      <c r="C74" s="320"/>
      <c r="D74" s="320"/>
      <c r="E74" s="320"/>
      <c r="F74" s="320"/>
      <c r="G74" s="320"/>
      <c r="H74" s="320"/>
      <c r="I74" s="320"/>
      <c r="J74" s="320"/>
      <c r="K74" s="320"/>
    </row>
    <row r="75" spans="1:13" x14ac:dyDescent="0.3">
      <c r="D75" s="68"/>
      <c r="E75" s="3"/>
      <c r="F75" s="68"/>
      <c r="G75" s="68"/>
      <c r="H75" s="68"/>
      <c r="I75" s="68"/>
      <c r="J75" s="68"/>
    </row>
    <row r="76" spans="1:13" ht="72.75" customHeight="1" x14ac:dyDescent="0.3">
      <c r="D76" s="68"/>
      <c r="E76" s="3"/>
      <c r="F76" s="68"/>
      <c r="G76" s="68"/>
      <c r="H76" s="68"/>
      <c r="I76" s="68"/>
      <c r="J76" s="68"/>
    </row>
    <row r="77" spans="1:13" x14ac:dyDescent="0.3">
      <c r="D77" s="64" t="s">
        <v>253</v>
      </c>
      <c r="E77" s="23"/>
      <c r="F77" s="64"/>
      <c r="G77" s="64" t="s">
        <v>75</v>
      </c>
      <c r="H77" s="74"/>
    </row>
    <row r="78" spans="1:13" x14ac:dyDescent="0.3">
      <c r="D78" s="69" t="s">
        <v>254</v>
      </c>
      <c r="E78" s="23"/>
      <c r="F78" s="64"/>
      <c r="G78" s="75" t="s">
        <v>257</v>
      </c>
      <c r="H78" s="74"/>
    </row>
    <row r="79" spans="1:13" x14ac:dyDescent="0.3">
      <c r="D79" s="70" t="s">
        <v>255</v>
      </c>
      <c r="E79" s="23"/>
      <c r="F79" s="64"/>
      <c r="G79" s="70" t="s">
        <v>256</v>
      </c>
      <c r="H79" s="69"/>
    </row>
    <row r="80" spans="1:13" x14ac:dyDescent="0.3">
      <c r="D80" s="68"/>
      <c r="E80" s="3"/>
      <c r="F80" s="68"/>
      <c r="G80" s="68"/>
      <c r="H80" s="68"/>
    </row>
    <row r="81" spans="4:8" x14ac:dyDescent="0.3">
      <c r="D81" s="68"/>
      <c r="E81" s="3"/>
      <c r="F81" s="68"/>
      <c r="G81" s="68"/>
      <c r="H81" s="68"/>
    </row>
  </sheetData>
  <sheetProtection algorithmName="SHA-512" hashValue="RAaaW0tPldmJO4U+NuW2yvnVluVN3Oh161vZ2ioU9e6P7svgFQoOTNKqYi245eN6pLumKkZY2GCgApwBe2h7+Q==" saltValue="sbA7UpX5jgtARYXQneMi1w==" spinCount="100000" sheet="1" objects="1" scenarios="1"/>
  <mergeCells count="43">
    <mergeCell ref="B41:J41"/>
    <mergeCell ref="B47:J47"/>
    <mergeCell ref="B64:J64"/>
    <mergeCell ref="B37:J37"/>
    <mergeCell ref="B31:J31"/>
    <mergeCell ref="H63:I63"/>
    <mergeCell ref="E43:K43"/>
    <mergeCell ref="H44:I44"/>
    <mergeCell ref="H46:I46"/>
    <mergeCell ref="H50:I50"/>
    <mergeCell ref="E49:K49"/>
    <mergeCell ref="H36:I36"/>
    <mergeCell ref="B74:K74"/>
    <mergeCell ref="B69:J69"/>
    <mergeCell ref="B56:J56"/>
    <mergeCell ref="B51:J51"/>
    <mergeCell ref="E66:K66"/>
    <mergeCell ref="E53:K53"/>
    <mergeCell ref="B70:J70"/>
    <mergeCell ref="B71:J71"/>
    <mergeCell ref="B72:J72"/>
    <mergeCell ref="D2:K2"/>
    <mergeCell ref="D3:K3"/>
    <mergeCell ref="E8:K8"/>
    <mergeCell ref="C54:D54"/>
    <mergeCell ref="H59:I59"/>
    <mergeCell ref="H45:I45"/>
    <mergeCell ref="H55:I55"/>
    <mergeCell ref="H54:I54"/>
    <mergeCell ref="H16:I16"/>
    <mergeCell ref="H35:I35"/>
    <mergeCell ref="H40:I40"/>
    <mergeCell ref="H29:I29"/>
    <mergeCell ref="H30:I30"/>
    <mergeCell ref="B20:J20"/>
    <mergeCell ref="E58:K58"/>
    <mergeCell ref="H28:I28"/>
    <mergeCell ref="E13:K13"/>
    <mergeCell ref="E22:K22"/>
    <mergeCell ref="E33:K33"/>
    <mergeCell ref="E39:K39"/>
    <mergeCell ref="H17:I17"/>
    <mergeCell ref="H14:I14"/>
  </mergeCells>
  <phoneticPr fontId="6" type="noConversion"/>
  <pageMargins left="0.78740157480314965" right="0.19685039370078741" top="0.98425196850393704" bottom="0.98425196850393704" header="0.31496062992125984" footer="0.31496062992125984"/>
  <pageSetup paperSize="9" scale="5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70"/>
  <sheetViews>
    <sheetView topLeftCell="A73" zoomScale="140" zoomScaleNormal="140" workbookViewId="0">
      <selection activeCell="A73" sqref="A1:XFD1048576"/>
    </sheetView>
  </sheetViews>
  <sheetFormatPr defaultRowHeight="16.5" x14ac:dyDescent="0.3"/>
  <cols>
    <col min="1" max="1" width="2.7109375" style="3" customWidth="1"/>
    <col min="2" max="2" width="10.28515625" style="304" customWidth="1"/>
    <col min="3" max="3" width="67.7109375" style="43" customWidth="1"/>
    <col min="4" max="4" width="9.140625" style="304"/>
    <col min="5" max="5" width="38.85546875" style="29" customWidth="1"/>
    <col min="6" max="16384" width="9.140625" style="3"/>
  </cols>
  <sheetData>
    <row r="1" spans="2:5" ht="17.25" thickBot="1" x14ac:dyDescent="0.35"/>
    <row r="2" spans="2:5" ht="20.25" customHeight="1" x14ac:dyDescent="0.3">
      <c r="B2" s="341" t="s">
        <v>44</v>
      </c>
      <c r="C2" s="342"/>
      <c r="D2" s="343"/>
      <c r="E2" s="30"/>
    </row>
    <row r="3" spans="2:5" ht="20.25" customHeight="1" x14ac:dyDescent="0.3">
      <c r="B3" s="344"/>
      <c r="C3" s="311"/>
      <c r="D3" s="312"/>
      <c r="E3" s="31"/>
    </row>
    <row r="4" spans="2:5" x14ac:dyDescent="0.3">
      <c r="B4" s="78" t="s">
        <v>2</v>
      </c>
      <c r="C4" s="32" t="s">
        <v>3</v>
      </c>
      <c r="D4" s="6"/>
      <c r="E4" s="33"/>
    </row>
    <row r="5" spans="2:5" x14ac:dyDescent="0.3">
      <c r="B5" s="78" t="s">
        <v>4</v>
      </c>
      <c r="C5" s="32" t="str">
        <f>ORÇAMENTO!E5</f>
        <v>PONTE PRÉ MOLDADA - RIBEIRÃO DO LIMOEIRO - GO 440</v>
      </c>
      <c r="D5" s="6"/>
      <c r="E5" s="33"/>
    </row>
    <row r="6" spans="2:5" x14ac:dyDescent="0.3">
      <c r="B6" s="78" t="s">
        <v>5</v>
      </c>
      <c r="C6" s="305">
        <f>ORÇAMENTO!E6</f>
        <v>2022015457</v>
      </c>
      <c r="D6" s="6"/>
      <c r="E6" s="33"/>
    </row>
    <row r="7" spans="2:5" x14ac:dyDescent="0.3">
      <c r="B7" s="78" t="s">
        <v>6</v>
      </c>
      <c r="C7" s="32" t="str">
        <f>ORÇAMENTO!E7</f>
        <v>RIBEIRÃO DO LIMOEIRO - GO 440</v>
      </c>
      <c r="D7" s="6"/>
      <c r="E7" s="33"/>
    </row>
    <row r="8" spans="2:5" ht="78" customHeight="1" x14ac:dyDescent="0.3">
      <c r="B8" s="34" t="s">
        <v>7</v>
      </c>
      <c r="C8" s="345" t="str">
        <f>ORÇAMENTO!E8</f>
        <v>TABELA DE TERRAPLENAGEM, PAVIMENTAÇÃO E OBRAS DE ARTE ESPECIAIS - GOINFRA T166 - COM DESONERAÇÃO - DATA BASE: 01/04/2022                                                                                                                                                                                  TABELA CUSTO DE OBRAS CIVIS - GOINFRA 171 - COM DESONERAÇÃO - DATA BASE: 01/05/2022                                                                                                                                                            TABELA SINAPI PCI 817.01 - DESONERADA - DATA BASE:15/06/2022                                                                                                                                                                                      TABELA SEINFRA VERSÃO 027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TABELA DER-ES - 1211704 - ABRIL/2022</v>
      </c>
      <c r="D8" s="346"/>
      <c r="E8" s="33"/>
    </row>
    <row r="9" spans="2:5" ht="17.25" thickBot="1" x14ac:dyDescent="0.35">
      <c r="B9" s="79" t="s">
        <v>8</v>
      </c>
      <c r="C9" s="35" t="str">
        <f>ORÇAMENTO!E9</f>
        <v>20 DE JUNHO 2022</v>
      </c>
      <c r="D9" s="36"/>
      <c r="E9" s="37"/>
    </row>
    <row r="10" spans="2:5" ht="17.25" thickBot="1" x14ac:dyDescent="0.35">
      <c r="B10" s="38"/>
      <c r="C10" s="39"/>
      <c r="D10" s="36"/>
      <c r="E10" s="40"/>
    </row>
    <row r="11" spans="2:5" x14ac:dyDescent="0.3">
      <c r="B11" s="91">
        <f>ORÇAMENTO!B13</f>
        <v>1</v>
      </c>
      <c r="C11" s="347" t="str">
        <f>ORÇAMENTO!E13</f>
        <v xml:space="preserve">SERVIÇOS PRELIMINARES </v>
      </c>
      <c r="D11" s="348"/>
      <c r="E11" s="349"/>
    </row>
    <row r="12" spans="2:5" x14ac:dyDescent="0.3">
      <c r="B12" s="202" t="s">
        <v>10</v>
      </c>
      <c r="C12" s="199" t="s">
        <v>45</v>
      </c>
      <c r="D12" s="200" t="s">
        <v>46</v>
      </c>
      <c r="E12" s="201" t="s">
        <v>47</v>
      </c>
    </row>
    <row r="13" spans="2:5" s="194" customFormat="1" ht="25.5" x14ac:dyDescent="0.25">
      <c r="B13" s="195" t="str">
        <f>ORÇAMENTO!B14</f>
        <v>1.1</v>
      </c>
      <c r="C13" s="204" t="str">
        <f>ORÇAMENTO!E14</f>
        <v>LOCACAO CONVENCIONAL DE OBRA, UTILIZANDO GABARITO DE TÁBUAS CORRIDAS PONTALETADAS A CADA 2,00M - 2 UTILIZAÇÕES. AF_10/2018</v>
      </c>
      <c r="D13" s="205" t="str">
        <f>ORÇAMENTO!G14</f>
        <v>m</v>
      </c>
      <c r="E13" s="198" t="s">
        <v>235</v>
      </c>
    </row>
    <row r="14" spans="2:5" x14ac:dyDescent="0.3">
      <c r="B14" s="191"/>
      <c r="C14" s="120" t="s">
        <v>236</v>
      </c>
      <c r="D14" s="192" t="s">
        <v>165</v>
      </c>
      <c r="E14" s="185">
        <f>11+11+8+8</f>
        <v>38</v>
      </c>
    </row>
    <row r="15" spans="2:5" x14ac:dyDescent="0.3">
      <c r="B15" s="324" t="s">
        <v>41</v>
      </c>
      <c r="C15" s="325"/>
      <c r="D15" s="326"/>
      <c r="E15" s="175">
        <f>E14</f>
        <v>38</v>
      </c>
    </row>
    <row r="16" spans="2:5" s="194" customFormat="1" ht="25.5" x14ac:dyDescent="0.25">
      <c r="B16" s="195" t="str">
        <f>ORÇAMENTO!B15</f>
        <v>1.2</v>
      </c>
      <c r="C16" s="196" t="str">
        <f>ORÇAMENTO!E15</f>
        <v>PLACA DE OBRA PLOTADA EM CHAPA METÁLICA 26 , AFIXADA EM CAVALETES DE MADEIRA DE LEI (VIGOTAS 6X12CM) - PADRÃO GOINFRA</v>
      </c>
      <c r="D16" s="197" t="str">
        <f>ORÇAMENTO!G15</f>
        <v>m2</v>
      </c>
      <c r="E16" s="198" t="s">
        <v>55</v>
      </c>
    </row>
    <row r="17" spans="2:5" x14ac:dyDescent="0.3">
      <c r="B17" s="190"/>
      <c r="C17" s="188" t="s">
        <v>56</v>
      </c>
      <c r="D17" s="186" t="s">
        <v>165</v>
      </c>
      <c r="E17" s="184">
        <v>2</v>
      </c>
    </row>
    <row r="18" spans="2:5" x14ac:dyDescent="0.3">
      <c r="B18" s="191"/>
      <c r="C18" s="189" t="s">
        <v>58</v>
      </c>
      <c r="D18" s="187" t="s">
        <v>165</v>
      </c>
      <c r="E18" s="185">
        <v>1.5</v>
      </c>
    </row>
    <row r="19" spans="2:5" x14ac:dyDescent="0.3">
      <c r="B19" s="324" t="s">
        <v>41</v>
      </c>
      <c r="C19" s="325"/>
      <c r="D19" s="326"/>
      <c r="E19" s="175">
        <f>E17*E18</f>
        <v>3</v>
      </c>
    </row>
    <row r="20" spans="2:5" s="194" customFormat="1" ht="38.25" x14ac:dyDescent="0.25">
      <c r="B20" s="195" t="str">
        <f>ORÇAMENTO!B16</f>
        <v>1.3</v>
      </c>
      <c r="C20" s="204" t="str">
        <f>ORÇAMENTO!E16</f>
        <v>LOCACAO DE CONTAINER 2,30 X 6,00 M, ALT. 2,50 M, COM 1 SANITARIO, PARA ESCRITORIO, COMPLETO, SEM DIVISORIAS INTERNAS (NAO INCLUI MOBILIZACAO/DESMOBILIZACAO)</v>
      </c>
      <c r="D20" s="205" t="str">
        <f>ORÇAMENTO!G16</f>
        <v>mês</v>
      </c>
      <c r="E20" s="198" t="s">
        <v>113</v>
      </c>
    </row>
    <row r="21" spans="2:5" x14ac:dyDescent="0.3">
      <c r="B21" s="191"/>
      <c r="C21" s="120" t="s">
        <v>200</v>
      </c>
      <c r="D21" s="192" t="s">
        <v>166</v>
      </c>
      <c r="E21" s="185">
        <v>2</v>
      </c>
    </row>
    <row r="22" spans="2:5" x14ac:dyDescent="0.3">
      <c r="B22" s="324" t="s">
        <v>41</v>
      </c>
      <c r="C22" s="325"/>
      <c r="D22" s="326"/>
      <c r="E22" s="175">
        <f>E21</f>
        <v>2</v>
      </c>
    </row>
    <row r="23" spans="2:5" s="194" customFormat="1" x14ac:dyDescent="0.25">
      <c r="B23" s="195" t="str">
        <f>ORÇAMENTO!B17</f>
        <v>1.4</v>
      </c>
      <c r="C23" s="204" t="str">
        <f>ORÇAMENTO!E17</f>
        <v>ALUGUEL MENSAL CONTAINER P/ ALMOX 6.00X2.40X2.40M</v>
      </c>
      <c r="D23" s="205" t="str">
        <f>ORÇAMENTO!G17</f>
        <v>ms</v>
      </c>
      <c r="E23" s="198" t="s">
        <v>113</v>
      </c>
    </row>
    <row r="24" spans="2:5" x14ac:dyDescent="0.3">
      <c r="B24" s="191"/>
      <c r="C24" s="120" t="s">
        <v>106</v>
      </c>
      <c r="D24" s="192" t="s">
        <v>166</v>
      </c>
      <c r="E24" s="185">
        <v>2</v>
      </c>
    </row>
    <row r="25" spans="2:5" x14ac:dyDescent="0.3">
      <c r="B25" s="324" t="s">
        <v>41</v>
      </c>
      <c r="C25" s="325"/>
      <c r="D25" s="326"/>
      <c r="E25" s="175">
        <f>E24</f>
        <v>2</v>
      </c>
    </row>
    <row r="26" spans="2:5" s="194" customFormat="1" ht="25.5" x14ac:dyDescent="0.25">
      <c r="B26" s="195" t="str">
        <f>ORÇAMENTO!B18</f>
        <v>1.5</v>
      </c>
      <c r="C26" s="196" t="str">
        <f>ORÇAMENTO!E18</f>
        <v>LIGAÇÃO PROVISÓRIA DE ÁGUA ( INCLUSO RETIRADA DO ESGOTO SANITÁRIO) - PD.
GOINFRA</v>
      </c>
      <c r="D26" s="197" t="str">
        <f>ORÇAMENTO!G18</f>
        <v>un</v>
      </c>
      <c r="E26" s="198" t="s">
        <v>67</v>
      </c>
    </row>
    <row r="27" spans="2:5" x14ac:dyDescent="0.3">
      <c r="B27" s="190"/>
      <c r="C27" s="188" t="s">
        <v>106</v>
      </c>
      <c r="D27" s="186" t="s">
        <v>88</v>
      </c>
      <c r="E27" s="184">
        <v>1</v>
      </c>
    </row>
    <row r="28" spans="2:5" x14ac:dyDescent="0.3">
      <c r="B28" s="324" t="s">
        <v>41</v>
      </c>
      <c r="C28" s="325"/>
      <c r="D28" s="326"/>
      <c r="E28" s="175">
        <f>E27</f>
        <v>1</v>
      </c>
    </row>
    <row r="29" spans="2:5" s="194" customFormat="1" x14ac:dyDescent="0.25">
      <c r="B29" s="195" t="str">
        <f>ORÇAMENTO!B19</f>
        <v>1.6</v>
      </c>
      <c r="C29" s="196" t="str">
        <f>ORÇAMENTO!E19</f>
        <v>LIGAÇÃO PROVISÓRIA LUZ E FORÇA - PD. GOINFRA</v>
      </c>
      <c r="D29" s="197" t="str">
        <f>ORÇAMENTO!G19</f>
        <v>un</v>
      </c>
      <c r="E29" s="198" t="s">
        <v>67</v>
      </c>
    </row>
    <row r="30" spans="2:5" x14ac:dyDescent="0.3">
      <c r="B30" s="190"/>
      <c r="C30" s="188" t="s">
        <v>230</v>
      </c>
      <c r="D30" s="186" t="s">
        <v>88</v>
      </c>
      <c r="E30" s="184">
        <v>1</v>
      </c>
    </row>
    <row r="31" spans="2:5" x14ac:dyDescent="0.3">
      <c r="B31" s="324" t="s">
        <v>41</v>
      </c>
      <c r="C31" s="325"/>
      <c r="D31" s="326"/>
      <c r="E31" s="175">
        <f>E30</f>
        <v>1</v>
      </c>
    </row>
    <row r="32" spans="2:5" x14ac:dyDescent="0.3">
      <c r="B32" s="182">
        <f>ORÇAMENTO!B22</f>
        <v>2</v>
      </c>
      <c r="C32" s="179" t="str">
        <f>ORÇAMENTO!E22</f>
        <v>TRANSPORTE</v>
      </c>
      <c r="D32" s="180"/>
      <c r="E32" s="181"/>
    </row>
    <row r="33" spans="2:5" x14ac:dyDescent="0.3">
      <c r="B33" s="202" t="s">
        <v>10</v>
      </c>
      <c r="C33" s="199" t="s">
        <v>45</v>
      </c>
      <c r="D33" s="200" t="s">
        <v>46</v>
      </c>
      <c r="E33" s="201" t="s">
        <v>47</v>
      </c>
    </row>
    <row r="34" spans="2:5" s="194" customFormat="1" ht="38.25" x14ac:dyDescent="0.25">
      <c r="B34" s="195" t="str">
        <f>ORÇAMENTO!B23</f>
        <v>2.1</v>
      </c>
      <c r="C34" s="204" t="str">
        <f>ORÇAMENTO!E23</f>
        <v>TRANSPORTE DE MATERIAIS/EQUIPAMENTOS/OUTROS ( INCLUSIVE OS DA MOBILIZAÇÃO E DESMOBILIZAÇÃO ) - CAMINHÃO CARROCERIA MADEIRA 15 T (INCLUSO NO VALOR O RETORNO )</v>
      </c>
      <c r="D34" s="205" t="str">
        <f>ORÇAMENTO!G23</f>
        <v xml:space="preserve">tkm </v>
      </c>
      <c r="E34" s="198" t="s">
        <v>104</v>
      </c>
    </row>
    <row r="35" spans="2:5" x14ac:dyDescent="0.3">
      <c r="B35" s="190"/>
      <c r="C35" s="127" t="s">
        <v>112</v>
      </c>
      <c r="D35" s="203" t="s">
        <v>177</v>
      </c>
      <c r="E35" s="184">
        <v>90</v>
      </c>
    </row>
    <row r="36" spans="2:5" x14ac:dyDescent="0.3">
      <c r="B36" s="191"/>
      <c r="C36" s="120" t="s">
        <v>105</v>
      </c>
      <c r="D36" s="192" t="s">
        <v>178</v>
      </c>
      <c r="E36" s="185">
        <v>105</v>
      </c>
    </row>
    <row r="37" spans="2:5" x14ac:dyDescent="0.3">
      <c r="B37" s="324" t="s">
        <v>41</v>
      </c>
      <c r="C37" s="325"/>
      <c r="D37" s="326"/>
      <c r="E37" s="175">
        <f>E35*E36</f>
        <v>9450</v>
      </c>
    </row>
    <row r="38" spans="2:5" s="194" customFormat="1" ht="25.5" x14ac:dyDescent="0.25">
      <c r="B38" s="207" t="str">
        <f>ORÇAMENTO!B24</f>
        <v>2.2</v>
      </c>
      <c r="C38" s="208" t="str">
        <f>ORÇAMENTO!E24</f>
        <v>CARGA DOS MATERIAIS/EQUIPAMENTOS/OUTROS ( INCLUSO HORA IMPRODUTIVA DO CAMINHÃO)</v>
      </c>
      <c r="D38" s="209" t="str">
        <f>ORÇAMENTO!G24</f>
        <v xml:space="preserve">un </v>
      </c>
      <c r="E38" s="210" t="s">
        <v>106</v>
      </c>
    </row>
    <row r="39" spans="2:5" x14ac:dyDescent="0.3">
      <c r="B39" s="219"/>
      <c r="C39" s="220" t="s">
        <v>107</v>
      </c>
      <c r="D39" s="215" t="s">
        <v>88</v>
      </c>
      <c r="E39" s="211">
        <v>1</v>
      </c>
    </row>
    <row r="40" spans="2:5" x14ac:dyDescent="0.3">
      <c r="B40" s="324" t="s">
        <v>41</v>
      </c>
      <c r="C40" s="325"/>
      <c r="D40" s="326"/>
      <c r="E40" s="175">
        <f>E39</f>
        <v>1</v>
      </c>
    </row>
    <row r="41" spans="2:5" s="194" customFormat="1" ht="25.5" x14ac:dyDescent="0.25">
      <c r="B41" s="195" t="str">
        <f>ORÇAMENTO!B25</f>
        <v>2.3</v>
      </c>
      <c r="C41" s="204" t="str">
        <f>ORÇAMENTO!E25</f>
        <v>DESCARGA DOS MATERIAIS/EQUIPAMENTOS/OUTROS ( INCLUSO HORA IMPRODUTIVA DO CAMINHÃO)</v>
      </c>
      <c r="D41" s="197" t="str">
        <f>ORÇAMENTO!G25</f>
        <v xml:space="preserve">un </v>
      </c>
      <c r="E41" s="198" t="s">
        <v>106</v>
      </c>
    </row>
    <row r="42" spans="2:5" x14ac:dyDescent="0.3">
      <c r="B42" s="191"/>
      <c r="C42" s="120" t="s">
        <v>108</v>
      </c>
      <c r="D42" s="187" t="s">
        <v>88</v>
      </c>
      <c r="E42" s="185">
        <v>1</v>
      </c>
    </row>
    <row r="43" spans="2:5" x14ac:dyDescent="0.3">
      <c r="B43" s="324" t="s">
        <v>41</v>
      </c>
      <c r="C43" s="325"/>
      <c r="D43" s="326"/>
      <c r="E43" s="175">
        <f>E42</f>
        <v>1</v>
      </c>
    </row>
    <row r="44" spans="2:5" s="194" customFormat="1" ht="25.5" x14ac:dyDescent="0.25">
      <c r="B44" s="195" t="str">
        <f>ORÇAMENTO!B26</f>
        <v>2.4</v>
      </c>
      <c r="C44" s="196" t="str">
        <f>ORÇAMENTO!E26</f>
        <v>MOBILIZAÇÃO DO CANTEIRO DE OBRAS - INCLUSIVE CARGA E DESCARGA E A HORA IMPRODUTIVA DO CAMINHÃO - ( EXCLUSO O TRANSPORTE )</v>
      </c>
      <c r="D44" s="197" t="str">
        <f>ORÇAMENTO!G26</f>
        <v xml:space="preserve">un </v>
      </c>
      <c r="E44" s="198" t="s">
        <v>106</v>
      </c>
    </row>
    <row r="45" spans="2:5" x14ac:dyDescent="0.3">
      <c r="B45" s="191"/>
      <c r="C45" s="189" t="s">
        <v>109</v>
      </c>
      <c r="D45" s="187" t="s">
        <v>88</v>
      </c>
      <c r="E45" s="185">
        <v>1</v>
      </c>
    </row>
    <row r="46" spans="2:5" x14ac:dyDescent="0.3">
      <c r="B46" s="324" t="s">
        <v>41</v>
      </c>
      <c r="C46" s="325"/>
      <c r="D46" s="326"/>
      <c r="E46" s="175">
        <f>E45</f>
        <v>1</v>
      </c>
    </row>
    <row r="47" spans="2:5" s="194" customFormat="1" ht="25.5" x14ac:dyDescent="0.25">
      <c r="B47" s="195" t="str">
        <f>ORÇAMENTO!B27</f>
        <v>2.5</v>
      </c>
      <c r="C47" s="204" t="str">
        <f>ORÇAMENTO!E27</f>
        <v>DESMOBILIZAÇÃO DO CANTEIRO DE OBRAS - INCLUSIVE CARGA E DESCARGA E A HORA IMPRODUTIVA DO CAMINHÃO - ( EXCLUSO O TRANSPORTE )</v>
      </c>
      <c r="D47" s="197" t="str">
        <f>ORÇAMENTO!G27</f>
        <v xml:space="preserve">un </v>
      </c>
      <c r="E47" s="198" t="s">
        <v>106</v>
      </c>
    </row>
    <row r="48" spans="2:5" x14ac:dyDescent="0.3">
      <c r="B48" s="191"/>
      <c r="C48" s="120" t="s">
        <v>110</v>
      </c>
      <c r="D48" s="187" t="s">
        <v>88</v>
      </c>
      <c r="E48" s="185">
        <v>1</v>
      </c>
    </row>
    <row r="49" spans="2:5" x14ac:dyDescent="0.3">
      <c r="B49" s="324" t="s">
        <v>41</v>
      </c>
      <c r="C49" s="325"/>
      <c r="D49" s="326"/>
      <c r="E49" s="175">
        <f>E48</f>
        <v>1</v>
      </c>
    </row>
    <row r="50" spans="2:5" s="194" customFormat="1" x14ac:dyDescent="0.25">
      <c r="B50" s="195" t="str">
        <f>ORÇAMENTO!B28</f>
        <v>2.6</v>
      </c>
      <c r="C50" s="196" t="str">
        <f>ORÇAMENTO!E28</f>
        <v>GUINDASTE 30 T - MÍNIMO 10H/DIA</v>
      </c>
      <c r="D50" s="197" t="str">
        <f>ORÇAMENTO!G28</f>
        <v>hr</v>
      </c>
      <c r="E50" s="198" t="s">
        <v>106</v>
      </c>
    </row>
    <row r="51" spans="2:5" x14ac:dyDescent="0.3">
      <c r="B51" s="191"/>
      <c r="C51" s="189" t="s">
        <v>173</v>
      </c>
      <c r="D51" s="187" t="s">
        <v>116</v>
      </c>
      <c r="E51" s="185">
        <v>10</v>
      </c>
    </row>
    <row r="52" spans="2:5" x14ac:dyDescent="0.3">
      <c r="B52" s="324" t="s">
        <v>41</v>
      </c>
      <c r="C52" s="325"/>
      <c r="D52" s="326"/>
      <c r="E52" s="175">
        <f>E51</f>
        <v>10</v>
      </c>
    </row>
    <row r="53" spans="2:5" s="194" customFormat="1" x14ac:dyDescent="0.25">
      <c r="B53" s="195" t="str">
        <f>ORÇAMENTO!B29</f>
        <v>2.7</v>
      </c>
      <c r="C53" s="196" t="str">
        <f>ORÇAMENTO!E29</f>
        <v>TRANSPORTE DE GUINDASTE 30 T - KM RODADO</v>
      </c>
      <c r="D53" s="197" t="str">
        <f>ORÇAMENTO!G29</f>
        <v>Km</v>
      </c>
      <c r="E53" s="198" t="s">
        <v>106</v>
      </c>
    </row>
    <row r="54" spans="2:5" x14ac:dyDescent="0.3">
      <c r="B54" s="191"/>
      <c r="C54" s="189" t="s">
        <v>252</v>
      </c>
      <c r="D54" s="187" t="s">
        <v>182</v>
      </c>
      <c r="E54" s="185">
        <f>105*2</f>
        <v>210</v>
      </c>
    </row>
    <row r="55" spans="2:5" x14ac:dyDescent="0.3">
      <c r="B55" s="324" t="s">
        <v>41</v>
      </c>
      <c r="C55" s="325"/>
      <c r="D55" s="326"/>
      <c r="E55" s="175">
        <f>E54</f>
        <v>210</v>
      </c>
    </row>
    <row r="56" spans="2:5" s="194" customFormat="1" x14ac:dyDescent="0.25">
      <c r="B56" s="195" t="str">
        <f>ORÇAMENTO!B30</f>
        <v>2.8</v>
      </c>
      <c r="C56" s="196" t="str">
        <f>ORÇAMENTO!E30</f>
        <v>TRANSPORTE DE PRÉ MOLDADOS EM CAMINHÃO PRANCHA 3 EIXOS - CAP. 30 T</v>
      </c>
      <c r="D56" s="197" t="str">
        <f>ORÇAMENTO!G30</f>
        <v xml:space="preserve">tkm </v>
      </c>
      <c r="E56" s="198" t="s">
        <v>106</v>
      </c>
    </row>
    <row r="57" spans="2:5" s="193" customFormat="1" x14ac:dyDescent="0.25">
      <c r="B57" s="149"/>
      <c r="C57" s="243" t="s">
        <v>184</v>
      </c>
      <c r="D57" s="150" t="s">
        <v>177</v>
      </c>
      <c r="E57" s="244">
        <v>30</v>
      </c>
    </row>
    <row r="58" spans="2:5" x14ac:dyDescent="0.3">
      <c r="B58" s="191"/>
      <c r="C58" s="189" t="s">
        <v>105</v>
      </c>
      <c r="D58" s="187" t="s">
        <v>182</v>
      </c>
      <c r="E58" s="185">
        <v>105</v>
      </c>
    </row>
    <row r="59" spans="2:5" x14ac:dyDescent="0.3">
      <c r="B59" s="324" t="s">
        <v>41</v>
      </c>
      <c r="C59" s="325"/>
      <c r="D59" s="326"/>
      <c r="E59" s="175">
        <f>E58*E57</f>
        <v>3150</v>
      </c>
    </row>
    <row r="60" spans="2:5" x14ac:dyDescent="0.3">
      <c r="B60" s="183">
        <f>ORÇAMENTO!B33</f>
        <v>3</v>
      </c>
      <c r="C60" s="177" t="str">
        <f>ORÇAMENTO!E33</f>
        <v>INFRA-ESTRUTURA</v>
      </c>
      <c r="D60" s="177"/>
      <c r="E60" s="178"/>
    </row>
    <row r="61" spans="2:5" x14ac:dyDescent="0.3">
      <c r="B61" s="228" t="s">
        <v>10</v>
      </c>
      <c r="C61" s="42" t="s">
        <v>45</v>
      </c>
      <c r="D61" s="41" t="s">
        <v>46</v>
      </c>
      <c r="E61" s="227" t="s">
        <v>47</v>
      </c>
    </row>
    <row r="62" spans="2:5" s="194" customFormat="1" x14ac:dyDescent="0.25">
      <c r="B62" s="195" t="str">
        <f>ORÇAMENTO!B34</f>
        <v>3.1</v>
      </c>
      <c r="C62" s="196" t="str">
        <f>ORÇAMENTO!E34</f>
        <v>ESTACA A TRADO DIAM.25 CM SEM FERRO</v>
      </c>
      <c r="D62" s="259" t="str">
        <f>ORÇAMENTO!G34</f>
        <v>m</v>
      </c>
      <c r="E62" s="258" t="s">
        <v>208</v>
      </c>
    </row>
    <row r="63" spans="2:5" x14ac:dyDescent="0.3">
      <c r="B63" s="212"/>
      <c r="C63" s="279" t="s">
        <v>207</v>
      </c>
      <c r="D63" s="280" t="s">
        <v>165</v>
      </c>
      <c r="E63" s="281">
        <v>2</v>
      </c>
    </row>
    <row r="64" spans="2:5" x14ac:dyDescent="0.3">
      <c r="B64" s="191"/>
      <c r="C64" s="217" t="s">
        <v>63</v>
      </c>
      <c r="D64" s="256" t="s">
        <v>88</v>
      </c>
      <c r="E64" s="257">
        <v>4</v>
      </c>
    </row>
    <row r="65" spans="2:5" x14ac:dyDescent="0.3">
      <c r="B65" s="332" t="s">
        <v>41</v>
      </c>
      <c r="C65" s="333"/>
      <c r="D65" s="333"/>
      <c r="E65" s="175">
        <f>E63*E64</f>
        <v>8</v>
      </c>
    </row>
    <row r="66" spans="2:5" s="194" customFormat="1" x14ac:dyDescent="0.25">
      <c r="B66" s="195" t="str">
        <f>ORÇAMENTO!B35</f>
        <v>3.2</v>
      </c>
      <c r="C66" s="204" t="str">
        <f>ORÇAMENTO!E35</f>
        <v>CONCRETO FCK=20 MPA</v>
      </c>
      <c r="D66" s="197" t="str">
        <f>ORÇAMENTO!G35</f>
        <v xml:space="preserve"> m3 </v>
      </c>
      <c r="E66" s="198" t="s">
        <v>59</v>
      </c>
    </row>
    <row r="67" spans="2:5" x14ac:dyDescent="0.3">
      <c r="B67" s="212"/>
      <c r="C67" s="131" t="s">
        <v>60</v>
      </c>
      <c r="D67" s="214" t="s">
        <v>165</v>
      </c>
      <c r="E67" s="213">
        <v>0.8</v>
      </c>
    </row>
    <row r="68" spans="2:5" x14ac:dyDescent="0.3">
      <c r="B68" s="190"/>
      <c r="C68" s="127" t="s">
        <v>58</v>
      </c>
      <c r="D68" s="186" t="s">
        <v>165</v>
      </c>
      <c r="E68" s="184">
        <v>4</v>
      </c>
    </row>
    <row r="69" spans="2:5" x14ac:dyDescent="0.3">
      <c r="B69" s="190"/>
      <c r="C69" s="127" t="s">
        <v>63</v>
      </c>
      <c r="D69" s="186" t="s">
        <v>88</v>
      </c>
      <c r="E69" s="184">
        <v>4</v>
      </c>
    </row>
    <row r="70" spans="2:5" x14ac:dyDescent="0.3">
      <c r="B70" s="282"/>
      <c r="C70" s="120" t="s">
        <v>61</v>
      </c>
      <c r="D70" s="187" t="s">
        <v>176</v>
      </c>
      <c r="E70" s="185" t="s">
        <v>62</v>
      </c>
    </row>
    <row r="71" spans="2:5" x14ac:dyDescent="0.3">
      <c r="B71" s="334" t="s">
        <v>225</v>
      </c>
      <c r="C71" s="335"/>
      <c r="D71" s="336"/>
      <c r="E71" s="175">
        <f>(3.14*0.4^2*5)*4</f>
        <v>10.048000000000002</v>
      </c>
    </row>
    <row r="72" spans="2:5" s="194" customFormat="1" ht="25.5" x14ac:dyDescent="0.25">
      <c r="B72" s="195" t="str">
        <f>ORÇAMENTO!B36</f>
        <v>3.3</v>
      </c>
      <c r="C72" s="196" t="str">
        <f>ORÇAMENTO!E36</f>
        <v>AÇO CA50/60 AQUISIÇÃO, ARMAÇÃO E COLOCAÇÃO (INCLUSO PERDAS) - INFRAESTRUTURA</v>
      </c>
      <c r="D72" s="259" t="str">
        <f>ORÇAMENTO!G36</f>
        <v>Kg</v>
      </c>
      <c r="E72" s="258" t="s">
        <v>66</v>
      </c>
    </row>
    <row r="73" spans="2:5" s="194" customFormat="1" x14ac:dyDescent="0.25">
      <c r="B73" s="285"/>
      <c r="C73" s="288" t="s">
        <v>210</v>
      </c>
      <c r="D73" s="153" t="s">
        <v>165</v>
      </c>
      <c r="E73" s="286">
        <f>(10*0.7)*4</f>
        <v>28</v>
      </c>
    </row>
    <row r="74" spans="2:5" x14ac:dyDescent="0.3">
      <c r="B74" s="190"/>
      <c r="C74" s="127" t="s">
        <v>212</v>
      </c>
      <c r="D74" s="287" t="s">
        <v>165</v>
      </c>
      <c r="E74" s="284">
        <f>(24*2.4)*4</f>
        <v>230.39999999999998</v>
      </c>
    </row>
    <row r="75" spans="2:5" s="194" customFormat="1" x14ac:dyDescent="0.25">
      <c r="B75" s="285"/>
      <c r="C75" s="288" t="s">
        <v>214</v>
      </c>
      <c r="D75" s="153" t="s">
        <v>215</v>
      </c>
      <c r="E75" s="291">
        <v>0.154</v>
      </c>
    </row>
    <row r="76" spans="2:5" s="194" customFormat="1" x14ac:dyDescent="0.25">
      <c r="B76" s="329" t="s">
        <v>216</v>
      </c>
      <c r="C76" s="330"/>
      <c r="D76" s="331"/>
      <c r="E76" s="292">
        <f>(E73+E74)*E75</f>
        <v>39.793599999999998</v>
      </c>
    </row>
    <row r="77" spans="2:5" s="194" customFormat="1" x14ac:dyDescent="0.25">
      <c r="B77" s="285"/>
      <c r="C77" s="288" t="s">
        <v>209</v>
      </c>
      <c r="D77" s="153" t="s">
        <v>165</v>
      </c>
      <c r="E77" s="286">
        <f>(5*1.7)*4</f>
        <v>34</v>
      </c>
    </row>
    <row r="78" spans="2:5" x14ac:dyDescent="0.3">
      <c r="B78" s="190"/>
      <c r="C78" s="127" t="s">
        <v>211</v>
      </c>
      <c r="D78" s="287" t="s">
        <v>165</v>
      </c>
      <c r="E78" s="284">
        <f>(20*3.6)*4</f>
        <v>288</v>
      </c>
    </row>
    <row r="79" spans="2:5" s="194" customFormat="1" x14ac:dyDescent="0.25">
      <c r="B79" s="285"/>
      <c r="C79" s="288" t="s">
        <v>213</v>
      </c>
      <c r="D79" s="153" t="s">
        <v>215</v>
      </c>
      <c r="E79" s="291">
        <v>0.39500000000000002</v>
      </c>
    </row>
    <row r="80" spans="2:5" s="194" customFormat="1" x14ac:dyDescent="0.25">
      <c r="B80" s="327" t="s">
        <v>216</v>
      </c>
      <c r="C80" s="328"/>
      <c r="D80" s="328"/>
      <c r="E80" s="293">
        <f>(E77+E78)*E79</f>
        <v>127.19000000000001</v>
      </c>
    </row>
    <row r="81" spans="2:5" x14ac:dyDescent="0.3">
      <c r="B81" s="332" t="s">
        <v>41</v>
      </c>
      <c r="C81" s="333"/>
      <c r="D81" s="333"/>
      <c r="E81" s="175">
        <f>((E80+E76)*0.1)+E80+E76</f>
        <v>183.68196</v>
      </c>
    </row>
    <row r="82" spans="2:5" x14ac:dyDescent="0.3">
      <c r="B82" s="183">
        <f>ORÇAMENTO!B39</f>
        <v>4</v>
      </c>
      <c r="C82" s="180" t="str">
        <f>ORÇAMENTO!E39</f>
        <v xml:space="preserve"> TUBULÃO CEU ABERTO (TCA)</v>
      </c>
      <c r="D82" s="180"/>
      <c r="E82" s="181"/>
    </row>
    <row r="83" spans="2:5" x14ac:dyDescent="0.3">
      <c r="B83" s="202" t="s">
        <v>10</v>
      </c>
      <c r="C83" s="199" t="s">
        <v>45</v>
      </c>
      <c r="D83" s="200" t="s">
        <v>46</v>
      </c>
      <c r="E83" s="201" t="s">
        <v>47</v>
      </c>
    </row>
    <row r="84" spans="2:5" s="194" customFormat="1" x14ac:dyDescent="0.25">
      <c r="B84" s="221" t="str">
        <f>ORÇAMENTO!B40</f>
        <v>4.1</v>
      </c>
      <c r="C84" s="204" t="str">
        <f>ORÇAMENTO!E40</f>
        <v xml:space="preserve">(TCA) EM PEDRA MAT. 2ª CAT. </v>
      </c>
      <c r="D84" s="197" t="str">
        <f>ORÇAMENTO!G40</f>
        <v>m3</v>
      </c>
      <c r="E84" s="198" t="str">
        <f>E66</f>
        <v xml:space="preserve">Volume </v>
      </c>
    </row>
    <row r="85" spans="2:5" x14ac:dyDescent="0.3">
      <c r="B85" s="190"/>
      <c r="C85" s="127" t="s">
        <v>60</v>
      </c>
      <c r="D85" s="186" t="s">
        <v>165</v>
      </c>
      <c r="E85" s="184">
        <v>0.8</v>
      </c>
    </row>
    <row r="86" spans="2:5" x14ac:dyDescent="0.3">
      <c r="B86" s="190"/>
      <c r="C86" s="127" t="s">
        <v>58</v>
      </c>
      <c r="D86" s="186" t="s">
        <v>165</v>
      </c>
      <c r="E86" s="184">
        <v>5</v>
      </c>
    </row>
    <row r="87" spans="2:5" x14ac:dyDescent="0.3">
      <c r="B87" s="190"/>
      <c r="C87" s="127" t="s">
        <v>63</v>
      </c>
      <c r="D87" s="186" t="s">
        <v>88</v>
      </c>
      <c r="E87" s="184">
        <v>4</v>
      </c>
    </row>
    <row r="88" spans="2:5" x14ac:dyDescent="0.3">
      <c r="B88" s="191"/>
      <c r="C88" s="222" t="s">
        <v>61</v>
      </c>
      <c r="D88" s="187" t="s">
        <v>176</v>
      </c>
      <c r="E88" s="185" t="s">
        <v>62</v>
      </c>
    </row>
    <row r="89" spans="2:5" x14ac:dyDescent="0.3">
      <c r="B89" s="332" t="s">
        <v>41</v>
      </c>
      <c r="C89" s="333"/>
      <c r="D89" s="333"/>
      <c r="E89" s="175">
        <f>(3.14*0.4^2*5)*4</f>
        <v>10.048000000000002</v>
      </c>
    </row>
    <row r="90" spans="2:5" x14ac:dyDescent="0.3">
      <c r="B90" s="183">
        <f>ORÇAMENTO!B43</f>
        <v>5</v>
      </c>
      <c r="C90" s="180" t="str">
        <f>ORÇAMENTO!E43</f>
        <v>MESO-ESTRUTURA</v>
      </c>
      <c r="D90" s="180"/>
      <c r="E90" s="181"/>
    </row>
    <row r="91" spans="2:5" x14ac:dyDescent="0.3">
      <c r="B91" s="228" t="s">
        <v>10</v>
      </c>
      <c r="C91" s="42" t="s">
        <v>45</v>
      </c>
      <c r="D91" s="41" t="s">
        <v>46</v>
      </c>
      <c r="E91" s="227" t="s">
        <v>47</v>
      </c>
    </row>
    <row r="92" spans="2:5" s="206" customFormat="1" x14ac:dyDescent="0.3">
      <c r="B92" s="223" t="str">
        <f>ORÇAMENTO!B44</f>
        <v>5.1</v>
      </c>
      <c r="C92" s="224" t="str">
        <f>ORÇAMENTO!E44</f>
        <v xml:space="preserve">FORMA CHAPA COMPENSADA RESINADA 12 MM (INCLUSO DESFORMA) </v>
      </c>
      <c r="D92" s="225" t="str">
        <f>ORÇAMENTO!G44</f>
        <v>m2</v>
      </c>
      <c r="E92" s="226" t="s">
        <v>55</v>
      </c>
    </row>
    <row r="93" spans="2:5" x14ac:dyDescent="0.3">
      <c r="B93" s="190"/>
      <c r="C93" s="127" t="s">
        <v>65</v>
      </c>
      <c r="D93" s="186" t="s">
        <v>20</v>
      </c>
      <c r="E93" s="184">
        <f>2.76+6.68+0.36+2.53+0.24+4.47</f>
        <v>17.04</v>
      </c>
    </row>
    <row r="94" spans="2:5" x14ac:dyDescent="0.3">
      <c r="B94" s="289"/>
      <c r="C94" s="290" t="s">
        <v>224</v>
      </c>
      <c r="D94" s="294" t="s">
        <v>20</v>
      </c>
      <c r="E94" s="254">
        <f>8.54+0.11+0.27</f>
        <v>8.9199999999999982</v>
      </c>
    </row>
    <row r="95" spans="2:5" x14ac:dyDescent="0.3">
      <c r="B95" s="191"/>
      <c r="C95" s="120" t="s">
        <v>63</v>
      </c>
      <c r="D95" s="187" t="s">
        <v>88</v>
      </c>
      <c r="E95" s="185">
        <v>2</v>
      </c>
    </row>
    <row r="96" spans="2:5" x14ac:dyDescent="0.3">
      <c r="B96" s="332" t="s">
        <v>41</v>
      </c>
      <c r="C96" s="333"/>
      <c r="D96" s="333"/>
      <c r="E96" s="175">
        <f>(E93+E94)*E95</f>
        <v>51.919999999999995</v>
      </c>
    </row>
    <row r="97" spans="2:5" s="194" customFormat="1" ht="25.5" x14ac:dyDescent="0.25">
      <c r="B97" s="195" t="str">
        <f>ORÇAMENTO!B45</f>
        <v>5.2</v>
      </c>
      <c r="C97" s="196" t="str">
        <f>ORÇAMENTO!E45</f>
        <v>AÇO CA50/60 AQUISIÇÃO, ARMAÇÃO E COLOCAÇÃO (INCLUSO PERDAS) - MESOESTRUTURA</v>
      </c>
      <c r="D97" s="259" t="str">
        <f>ORÇAMENTO!G45</f>
        <v xml:space="preserve"> Kg </v>
      </c>
      <c r="E97" s="258" t="s">
        <v>66</v>
      </c>
    </row>
    <row r="98" spans="2:5" x14ac:dyDescent="0.3">
      <c r="B98" s="190"/>
      <c r="C98" s="127" t="s">
        <v>223</v>
      </c>
      <c r="D98" s="287" t="s">
        <v>165</v>
      </c>
      <c r="E98" s="284">
        <f>(36*2.8)+(36*1.76)</f>
        <v>164.16</v>
      </c>
    </row>
    <row r="99" spans="2:5" s="194" customFormat="1" x14ac:dyDescent="0.25">
      <c r="B99" s="285"/>
      <c r="C99" s="288" t="s">
        <v>213</v>
      </c>
      <c r="D99" s="153" t="s">
        <v>215</v>
      </c>
      <c r="E99" s="291">
        <v>0.39500000000000002</v>
      </c>
    </row>
    <row r="100" spans="2:5" s="194" customFormat="1" x14ac:dyDescent="0.25">
      <c r="B100" s="327" t="s">
        <v>216</v>
      </c>
      <c r="C100" s="328"/>
      <c r="D100" s="328"/>
      <c r="E100" s="293">
        <f>(E98)*E99</f>
        <v>64.843199999999996</v>
      </c>
    </row>
    <row r="101" spans="2:5" x14ac:dyDescent="0.3">
      <c r="B101" s="190"/>
      <c r="C101" s="127" t="s">
        <v>217</v>
      </c>
      <c r="D101" s="287" t="s">
        <v>165</v>
      </c>
      <c r="E101" s="284">
        <f>(34*2*0.9)*4</f>
        <v>244.8</v>
      </c>
    </row>
    <row r="102" spans="2:5" s="194" customFormat="1" x14ac:dyDescent="0.25">
      <c r="B102" s="285"/>
      <c r="C102" s="288" t="s">
        <v>218</v>
      </c>
      <c r="D102" s="153" t="s">
        <v>215</v>
      </c>
      <c r="E102" s="291">
        <v>0.245</v>
      </c>
    </row>
    <row r="103" spans="2:5" s="194" customFormat="1" x14ac:dyDescent="0.25">
      <c r="B103" s="329" t="s">
        <v>216</v>
      </c>
      <c r="C103" s="330"/>
      <c r="D103" s="331"/>
      <c r="E103" s="292">
        <f>(E101)*E102</f>
        <v>59.975999999999999</v>
      </c>
    </row>
    <row r="104" spans="2:5" x14ac:dyDescent="0.3">
      <c r="B104" s="190"/>
      <c r="C104" s="127" t="s">
        <v>219</v>
      </c>
      <c r="D104" s="287" t="s">
        <v>165</v>
      </c>
      <c r="E104" s="284">
        <f>(34*2*1)*4</f>
        <v>272</v>
      </c>
    </row>
    <row r="105" spans="2:5" x14ac:dyDescent="0.3">
      <c r="B105" s="190"/>
      <c r="C105" s="127" t="s">
        <v>222</v>
      </c>
      <c r="D105" s="287" t="s">
        <v>165</v>
      </c>
      <c r="E105" s="284">
        <f>(5*5.46)+(3*2*5.46)</f>
        <v>60.06</v>
      </c>
    </row>
    <row r="106" spans="2:5" s="194" customFormat="1" x14ac:dyDescent="0.25">
      <c r="B106" s="285"/>
      <c r="C106" s="288" t="s">
        <v>220</v>
      </c>
      <c r="D106" s="153" t="s">
        <v>215</v>
      </c>
      <c r="E106" s="291">
        <v>0.61699999999999999</v>
      </c>
    </row>
    <row r="107" spans="2:5" s="194" customFormat="1" x14ac:dyDescent="0.25">
      <c r="B107" s="329" t="s">
        <v>216</v>
      </c>
      <c r="C107" s="330"/>
      <c r="D107" s="331"/>
      <c r="E107" s="292">
        <f>(E104+E105)*E106</f>
        <v>204.88102000000001</v>
      </c>
    </row>
    <row r="108" spans="2:5" x14ac:dyDescent="0.3">
      <c r="B108" s="190"/>
      <c r="C108" s="127" t="s">
        <v>221</v>
      </c>
      <c r="D108" s="287" t="s">
        <v>165</v>
      </c>
      <c r="E108" s="284">
        <f>(2*5.46)+(7*5.46)</f>
        <v>49.14</v>
      </c>
    </row>
    <row r="109" spans="2:5" s="194" customFormat="1" x14ac:dyDescent="0.25">
      <c r="B109" s="285"/>
      <c r="C109" s="288" t="s">
        <v>220</v>
      </c>
      <c r="D109" s="153" t="s">
        <v>215</v>
      </c>
      <c r="E109" s="291">
        <v>0.96299999999999997</v>
      </c>
    </row>
    <row r="110" spans="2:5" s="194" customFormat="1" x14ac:dyDescent="0.25">
      <c r="B110" s="329" t="s">
        <v>216</v>
      </c>
      <c r="C110" s="330"/>
      <c r="D110" s="331"/>
      <c r="E110" s="292">
        <f>(E108)*E109</f>
        <v>47.321820000000002</v>
      </c>
    </row>
    <row r="111" spans="2:5" x14ac:dyDescent="0.3">
      <c r="B111" s="332" t="s">
        <v>41</v>
      </c>
      <c r="C111" s="333"/>
      <c r="D111" s="333"/>
      <c r="E111" s="175">
        <f>(E110+E107+E103+E100)*0.1+(E110+E107+E103+E100)</f>
        <v>414.72424400000006</v>
      </c>
    </row>
    <row r="112" spans="2:5" s="206" customFormat="1" x14ac:dyDescent="0.3">
      <c r="B112" s="223" t="str">
        <f>ORÇAMENTO!B46</f>
        <v>5.3</v>
      </c>
      <c r="C112" s="229" t="str">
        <f>ORÇAMENTO!E46</f>
        <v>CONCRETO FCK=30 MPA COM ADITIVO</v>
      </c>
      <c r="D112" s="230" t="str">
        <f>ORÇAMENTO!G46</f>
        <v xml:space="preserve"> m3 </v>
      </c>
      <c r="E112" s="226" t="s">
        <v>64</v>
      </c>
    </row>
    <row r="113" spans="2:5" x14ac:dyDescent="0.3">
      <c r="B113" s="212"/>
      <c r="C113" s="151" t="s">
        <v>226</v>
      </c>
      <c r="D113" s="216" t="s">
        <v>30</v>
      </c>
      <c r="E113" s="213">
        <v>2.0950000000000002</v>
      </c>
    </row>
    <row r="114" spans="2:5" x14ac:dyDescent="0.3">
      <c r="B114" s="289"/>
      <c r="C114" s="295" t="s">
        <v>227</v>
      </c>
      <c r="D114" s="296" t="s">
        <v>30</v>
      </c>
      <c r="E114" s="254">
        <f>4.275*0.22</f>
        <v>0.94050000000000011</v>
      </c>
    </row>
    <row r="115" spans="2:5" x14ac:dyDescent="0.3">
      <c r="B115" s="191"/>
      <c r="C115" s="189" t="s">
        <v>63</v>
      </c>
      <c r="D115" s="192" t="s">
        <v>88</v>
      </c>
      <c r="E115" s="185">
        <v>2</v>
      </c>
    </row>
    <row r="116" spans="2:5" x14ac:dyDescent="0.3">
      <c r="B116" s="332" t="s">
        <v>41</v>
      </c>
      <c r="C116" s="333"/>
      <c r="D116" s="333"/>
      <c r="E116" s="175">
        <f>(E113+E114)*E115</f>
        <v>6.0710000000000006</v>
      </c>
    </row>
    <row r="117" spans="2:5" x14ac:dyDescent="0.3">
      <c r="B117" s="183">
        <f>ORÇAMENTO!B49</f>
        <v>6</v>
      </c>
      <c r="C117" s="180" t="str">
        <f>ORÇAMENTO!E49</f>
        <v>ESCORAMENTO</v>
      </c>
      <c r="D117" s="180"/>
      <c r="E117" s="181"/>
    </row>
    <row r="118" spans="2:5" x14ac:dyDescent="0.3">
      <c r="B118" s="228" t="s">
        <v>10</v>
      </c>
      <c r="C118" s="42" t="s">
        <v>45</v>
      </c>
      <c r="D118" s="41" t="s">
        <v>46</v>
      </c>
      <c r="E118" s="227" t="s">
        <v>47</v>
      </c>
    </row>
    <row r="119" spans="2:5" s="206" customFormat="1" x14ac:dyDescent="0.3">
      <c r="B119" s="231" t="str">
        <f>ORÇAMENTO!B50</f>
        <v>6.1</v>
      </c>
      <c r="C119" s="232" t="str">
        <f>ORÇAMENTO!E50</f>
        <v xml:space="preserve">ESCORAMENTO PARA PONTE </v>
      </c>
      <c r="D119" s="233" t="str">
        <f>ORÇAMENTO!G50</f>
        <v xml:space="preserve">m3 </v>
      </c>
      <c r="E119" s="234" t="s">
        <v>59</v>
      </c>
    </row>
    <row r="120" spans="2:5" x14ac:dyDescent="0.3">
      <c r="B120" s="212"/>
      <c r="C120" s="151" t="s">
        <v>230</v>
      </c>
      <c r="D120" s="216" t="s">
        <v>20</v>
      </c>
      <c r="E120" s="213">
        <f>5*8</f>
        <v>40</v>
      </c>
    </row>
    <row r="121" spans="2:5" x14ac:dyDescent="0.3">
      <c r="B121" s="246"/>
      <c r="C121" s="222" t="s">
        <v>232</v>
      </c>
      <c r="D121" s="218" t="s">
        <v>165</v>
      </c>
      <c r="E121" s="185">
        <v>2</v>
      </c>
    </row>
    <row r="122" spans="2:5" x14ac:dyDescent="0.3">
      <c r="B122" s="332" t="s">
        <v>41</v>
      </c>
      <c r="C122" s="333"/>
      <c r="D122" s="333"/>
      <c r="E122" s="175">
        <f>E120*E121</f>
        <v>80</v>
      </c>
    </row>
    <row r="123" spans="2:5" x14ac:dyDescent="0.3">
      <c r="B123" s="183">
        <f>ORÇAMENTO!B53</f>
        <v>7</v>
      </c>
      <c r="C123" s="350" t="str">
        <f>ORÇAMENTO!E53</f>
        <v>SUPER-ESTRUTURA</v>
      </c>
      <c r="D123" s="351"/>
      <c r="E123" s="352"/>
    </row>
    <row r="124" spans="2:5" x14ac:dyDescent="0.3">
      <c r="B124" s="228" t="s">
        <v>10</v>
      </c>
      <c r="C124" s="42" t="s">
        <v>45</v>
      </c>
      <c r="D124" s="41" t="s">
        <v>46</v>
      </c>
      <c r="E124" s="227" t="s">
        <v>47</v>
      </c>
    </row>
    <row r="125" spans="2:5" s="206" customFormat="1" x14ac:dyDescent="0.3">
      <c r="B125" s="235" t="str">
        <f>ORÇAMENTO!B54</f>
        <v>7.1</v>
      </c>
      <c r="C125" s="236" t="str">
        <f>ORÇAMENTO!E54</f>
        <v xml:space="preserve">VIGAS PRE MOLDADAS DE 8M </v>
      </c>
      <c r="D125" s="237" t="str">
        <f>ORÇAMENTO!G54</f>
        <v>und</v>
      </c>
      <c r="E125" s="238" t="s">
        <v>67</v>
      </c>
    </row>
    <row r="126" spans="2:5" x14ac:dyDescent="0.3">
      <c r="B126" s="191"/>
      <c r="C126" s="120" t="s">
        <v>68</v>
      </c>
      <c r="D126" s="187" t="s">
        <v>88</v>
      </c>
      <c r="E126" s="185">
        <v>5</v>
      </c>
    </row>
    <row r="127" spans="2:5" x14ac:dyDescent="0.3">
      <c r="B127" s="332" t="s">
        <v>41</v>
      </c>
      <c r="C127" s="333"/>
      <c r="D127" s="333"/>
      <c r="E127" s="175">
        <f>E126</f>
        <v>5</v>
      </c>
    </row>
    <row r="128" spans="2:5" s="206" customFormat="1" x14ac:dyDescent="0.3">
      <c r="B128" s="223" t="s">
        <v>117</v>
      </c>
      <c r="C128" s="224" t="str">
        <f>ORÇAMENTO!E55</f>
        <v>BARREIRA DE CONCRETO (NEW JERSEY) SIMPLES</v>
      </c>
      <c r="D128" s="225" t="s">
        <v>165</v>
      </c>
      <c r="E128" s="226" t="s">
        <v>57</v>
      </c>
    </row>
    <row r="129" spans="2:5" x14ac:dyDescent="0.3">
      <c r="B129" s="190"/>
      <c r="C129" s="127" t="s">
        <v>57</v>
      </c>
      <c r="D129" s="186" t="s">
        <v>165</v>
      </c>
      <c r="E129" s="184">
        <v>8</v>
      </c>
    </row>
    <row r="130" spans="2:5" x14ac:dyDescent="0.3">
      <c r="B130" s="191"/>
      <c r="C130" s="120" t="s">
        <v>63</v>
      </c>
      <c r="D130" s="187" t="s">
        <v>88</v>
      </c>
      <c r="E130" s="185">
        <v>2</v>
      </c>
    </row>
    <row r="131" spans="2:5" x14ac:dyDescent="0.3">
      <c r="B131" s="332" t="s">
        <v>41</v>
      </c>
      <c r="C131" s="333"/>
      <c r="D131" s="333"/>
      <c r="E131" s="175">
        <f>(E130*E129)</f>
        <v>16</v>
      </c>
    </row>
    <row r="132" spans="2:5" x14ac:dyDescent="0.3">
      <c r="B132" s="183">
        <f>ORÇAMENTO!B58</f>
        <v>8</v>
      </c>
      <c r="C132" s="350" t="str">
        <f>ORÇAMENTO!E58</f>
        <v>SERVIÇOS COMPLEMENTARES</v>
      </c>
      <c r="D132" s="351"/>
      <c r="E132" s="352"/>
    </row>
    <row r="133" spans="2:5" x14ac:dyDescent="0.3">
      <c r="B133" s="228" t="s">
        <v>10</v>
      </c>
      <c r="C133" s="42" t="s">
        <v>45</v>
      </c>
      <c r="D133" s="41" t="s">
        <v>46</v>
      </c>
      <c r="E133" s="227" t="s">
        <v>47</v>
      </c>
    </row>
    <row r="134" spans="2:5" s="206" customFormat="1" x14ac:dyDescent="0.3">
      <c r="B134" s="235" t="str">
        <f>ORÇAMENTO!B59</f>
        <v>8.1</v>
      </c>
      <c r="C134" s="236" t="str">
        <f>ORÇAMENTO!E59</f>
        <v>NEOPRENE</v>
      </c>
      <c r="D134" s="237" t="str">
        <f>ORÇAMENTO!G59</f>
        <v xml:space="preserve"> Kg</v>
      </c>
      <c r="E134" s="238" t="s">
        <v>66</v>
      </c>
    </row>
    <row r="135" spans="2:5" x14ac:dyDescent="0.3">
      <c r="B135" s="212"/>
      <c r="C135" s="279" t="s">
        <v>246</v>
      </c>
      <c r="D135" s="216" t="s">
        <v>88</v>
      </c>
      <c r="E135" s="213">
        <v>5</v>
      </c>
    </row>
    <row r="136" spans="2:5" x14ac:dyDescent="0.3">
      <c r="B136" s="212"/>
      <c r="C136" s="279" t="s">
        <v>247</v>
      </c>
      <c r="D136" s="216" t="s">
        <v>42</v>
      </c>
      <c r="E136" s="213">
        <v>2</v>
      </c>
    </row>
    <row r="137" spans="2:5" x14ac:dyDescent="0.3">
      <c r="B137" s="212"/>
      <c r="C137" s="131" t="s">
        <v>242</v>
      </c>
      <c r="D137" s="216" t="s">
        <v>243</v>
      </c>
      <c r="E137" s="213">
        <v>1750</v>
      </c>
    </row>
    <row r="138" spans="2:5" x14ac:dyDescent="0.3">
      <c r="B138" s="191"/>
      <c r="C138" s="120" t="s">
        <v>244</v>
      </c>
      <c r="D138" s="192" t="s">
        <v>245</v>
      </c>
      <c r="E138" s="185">
        <v>1.27</v>
      </c>
    </row>
    <row r="139" spans="2:5" x14ac:dyDescent="0.3">
      <c r="B139" s="332" t="s">
        <v>41</v>
      </c>
      <c r="C139" s="333"/>
      <c r="D139" s="333"/>
      <c r="E139" s="175">
        <f>(10*(E137*E138))/1000</f>
        <v>22.225000000000001</v>
      </c>
    </row>
    <row r="140" spans="2:5" s="206" customFormat="1" x14ac:dyDescent="0.3">
      <c r="B140" s="223" t="str">
        <f>ORÇAMENTO!B60</f>
        <v>8.2</v>
      </c>
      <c r="C140" s="239" t="str">
        <f>ORÇAMENTO!E60</f>
        <v xml:space="preserve">OBELISCO PARA PLACA DE INAUGURAÇÃO - PADRÃO GOINFRA </v>
      </c>
      <c r="D140" s="230" t="str">
        <f>ORÇAMENTO!G60</f>
        <v xml:space="preserve">Un </v>
      </c>
      <c r="E140" s="226" t="s">
        <v>67</v>
      </c>
    </row>
    <row r="141" spans="2:5" x14ac:dyDescent="0.3">
      <c r="B141" s="191"/>
      <c r="C141" s="189" t="s">
        <v>85</v>
      </c>
      <c r="D141" s="192" t="s">
        <v>88</v>
      </c>
      <c r="E141" s="185">
        <v>1</v>
      </c>
    </row>
    <row r="142" spans="2:5" x14ac:dyDescent="0.3">
      <c r="B142" s="332" t="s">
        <v>41</v>
      </c>
      <c r="C142" s="333"/>
      <c r="D142" s="333"/>
      <c r="E142" s="175">
        <f>E141</f>
        <v>1</v>
      </c>
    </row>
    <row r="143" spans="2:5" s="206" customFormat="1" x14ac:dyDescent="0.3">
      <c r="B143" s="223" t="str">
        <f>ORÇAMENTO!B61</f>
        <v>8.3</v>
      </c>
      <c r="C143" s="240" t="str">
        <f>ORÇAMENTO!E61</f>
        <v>PLACA DE INAUGURACAO ACO ESCOVADO 80 X 60 CM</v>
      </c>
      <c r="D143" s="225" t="str">
        <f>ORÇAMENTO!G61</f>
        <v xml:space="preserve">Un </v>
      </c>
      <c r="E143" s="226" t="s">
        <v>67</v>
      </c>
    </row>
    <row r="144" spans="2:5" x14ac:dyDescent="0.3">
      <c r="B144" s="191"/>
      <c r="C144" s="120" t="s">
        <v>84</v>
      </c>
      <c r="D144" s="187" t="s">
        <v>88</v>
      </c>
      <c r="E144" s="185">
        <v>1</v>
      </c>
    </row>
    <row r="145" spans="2:5" x14ac:dyDescent="0.3">
      <c r="B145" s="332" t="s">
        <v>41</v>
      </c>
      <c r="C145" s="333"/>
      <c r="D145" s="333"/>
      <c r="E145" s="175">
        <f>E144</f>
        <v>1</v>
      </c>
    </row>
    <row r="146" spans="2:5" s="206" customFormat="1" x14ac:dyDescent="0.3">
      <c r="B146" s="223" t="str">
        <f>ORÇAMENTO!B62</f>
        <v>8.4</v>
      </c>
      <c r="C146" s="240" t="str">
        <f>ORÇAMENTO!E62</f>
        <v>REATERRO COM APILOAMENTO</v>
      </c>
      <c r="D146" s="225" t="str">
        <f>ORÇAMENTO!G62</f>
        <v>m3</v>
      </c>
      <c r="E146" s="226" t="s">
        <v>64</v>
      </c>
    </row>
    <row r="147" spans="2:5" x14ac:dyDescent="0.3">
      <c r="B147" s="212"/>
      <c r="C147" s="131" t="s">
        <v>187</v>
      </c>
      <c r="D147" s="214" t="s">
        <v>20</v>
      </c>
      <c r="E147" s="213">
        <f>7*3</f>
        <v>21</v>
      </c>
    </row>
    <row r="148" spans="2:5" x14ac:dyDescent="0.3">
      <c r="B148" s="212"/>
      <c r="C148" s="151" t="s">
        <v>188</v>
      </c>
      <c r="D148" s="214" t="s">
        <v>165</v>
      </c>
      <c r="E148" s="213">
        <v>2</v>
      </c>
    </row>
    <row r="149" spans="2:5" x14ac:dyDescent="0.3">
      <c r="B149" s="191"/>
      <c r="C149" s="217" t="s">
        <v>189</v>
      </c>
      <c r="D149" s="247" t="s">
        <v>88</v>
      </c>
      <c r="E149" s="248">
        <v>2</v>
      </c>
    </row>
    <row r="150" spans="2:5" x14ac:dyDescent="0.3">
      <c r="B150" s="332" t="s">
        <v>41</v>
      </c>
      <c r="C150" s="333"/>
      <c r="D150" s="333"/>
      <c r="E150" s="175">
        <f>(E147*E148)*E149</f>
        <v>84</v>
      </c>
    </row>
    <row r="151" spans="2:5" s="206" customFormat="1" x14ac:dyDescent="0.3">
      <c r="B151" s="223" t="str">
        <f>ORÇAMENTO!B63</f>
        <v>8.5</v>
      </c>
      <c r="C151" s="240" t="str">
        <f>ORÇAMENTO!E63</f>
        <v>ARGILA OU BARRO PARA ATERRO/REATERRO (COM TRANSPORTE ATE 10 KM)</v>
      </c>
      <c r="D151" s="225" t="str">
        <f>ORÇAMENTO!G63</f>
        <v>m3</v>
      </c>
      <c r="E151" s="226" t="s">
        <v>64</v>
      </c>
    </row>
    <row r="152" spans="2:5" x14ac:dyDescent="0.3">
      <c r="B152" s="212"/>
      <c r="C152" s="131" t="s">
        <v>240</v>
      </c>
      <c r="D152" s="214" t="s">
        <v>30</v>
      </c>
      <c r="E152" s="213">
        <f>(21*2)+((21*2)*0.3)</f>
        <v>54.6</v>
      </c>
    </row>
    <row r="153" spans="2:5" x14ac:dyDescent="0.3">
      <c r="B153" s="251"/>
      <c r="C153" s="252" t="s">
        <v>241</v>
      </c>
      <c r="D153" s="253" t="s">
        <v>30</v>
      </c>
      <c r="E153" s="254">
        <v>26</v>
      </c>
    </row>
    <row r="154" spans="2:5" x14ac:dyDescent="0.3">
      <c r="B154" s="246"/>
      <c r="C154" s="222" t="s">
        <v>63</v>
      </c>
      <c r="D154" s="249" t="s">
        <v>42</v>
      </c>
      <c r="E154" s="185">
        <v>2</v>
      </c>
    </row>
    <row r="155" spans="2:5" x14ac:dyDescent="0.3">
      <c r="B155" s="332" t="s">
        <v>41</v>
      </c>
      <c r="C155" s="333"/>
      <c r="D155" s="333"/>
      <c r="E155" s="175">
        <f>(E152+E153)*E154</f>
        <v>161.19999999999999</v>
      </c>
    </row>
    <row r="156" spans="2:5" x14ac:dyDescent="0.3">
      <c r="B156" s="183">
        <f>ORÇAMENTO!B66</f>
        <v>9</v>
      </c>
      <c r="C156" s="350" t="str">
        <f>ORÇAMENTO!E66</f>
        <v>ADMINISTRAÇÃO</v>
      </c>
      <c r="D156" s="351"/>
      <c r="E156" s="352"/>
    </row>
    <row r="157" spans="2:5" x14ac:dyDescent="0.3">
      <c r="B157" s="228" t="s">
        <v>10</v>
      </c>
      <c r="C157" s="42" t="s">
        <v>45</v>
      </c>
      <c r="D157" s="41" t="s">
        <v>46</v>
      </c>
      <c r="E157" s="227" t="s">
        <v>47</v>
      </c>
    </row>
    <row r="158" spans="2:5" s="206" customFormat="1" x14ac:dyDescent="0.3">
      <c r="B158" s="235" t="str">
        <f>ORÇAMENTO!B67</f>
        <v>9.1</v>
      </c>
      <c r="C158" s="241" t="str">
        <f>ORÇAMENTO!E67</f>
        <v>ENGENHEIRO - (OBRAS CIVIS)</v>
      </c>
      <c r="D158" s="237" t="str">
        <f>ORÇAMENTO!G67</f>
        <v>hr</v>
      </c>
      <c r="E158" s="238" t="s">
        <v>67</v>
      </c>
    </row>
    <row r="159" spans="2:5" x14ac:dyDescent="0.3">
      <c r="B159" s="212"/>
      <c r="C159" s="151" t="s">
        <v>192</v>
      </c>
      <c r="D159" s="214" t="s">
        <v>193</v>
      </c>
      <c r="E159" s="213">
        <v>20</v>
      </c>
    </row>
    <row r="160" spans="2:5" x14ac:dyDescent="0.3">
      <c r="B160" s="255"/>
      <c r="C160" s="250" t="s">
        <v>194</v>
      </c>
      <c r="D160" s="27" t="s">
        <v>116</v>
      </c>
      <c r="E160" s="248">
        <v>5</v>
      </c>
    </row>
    <row r="161" spans="2:5" ht="17.25" thickBot="1" x14ac:dyDescent="0.35">
      <c r="B161" s="337" t="s">
        <v>41</v>
      </c>
      <c r="C161" s="338"/>
      <c r="D161" s="338"/>
      <c r="E161" s="176">
        <f>E159*E160</f>
        <v>100</v>
      </c>
    </row>
    <row r="162" spans="2:5" s="206" customFormat="1" x14ac:dyDescent="0.3">
      <c r="B162" s="235" t="str">
        <f>ORÇAMENTO!B68</f>
        <v>9.2</v>
      </c>
      <c r="C162" s="241" t="str">
        <f>ORÇAMENTO!E68</f>
        <v>ENCARREGADO - (OBRAS CIVIS)</v>
      </c>
      <c r="D162" s="237" t="str">
        <f>ORÇAMENTO!G68</f>
        <v>hr</v>
      </c>
      <c r="E162" s="238" t="s">
        <v>67</v>
      </c>
    </row>
    <row r="163" spans="2:5" x14ac:dyDescent="0.3">
      <c r="B163" s="212"/>
      <c r="C163" s="151" t="s">
        <v>192</v>
      </c>
      <c r="D163" s="214" t="s">
        <v>193</v>
      </c>
      <c r="E163" s="213">
        <v>40</v>
      </c>
    </row>
    <row r="164" spans="2:5" x14ac:dyDescent="0.3">
      <c r="B164" s="255"/>
      <c r="C164" s="250" t="s">
        <v>194</v>
      </c>
      <c r="D164" s="27" t="s">
        <v>116</v>
      </c>
      <c r="E164" s="248">
        <v>8</v>
      </c>
    </row>
    <row r="165" spans="2:5" ht="17.25" thickBot="1" x14ac:dyDescent="0.35">
      <c r="B165" s="337" t="s">
        <v>41</v>
      </c>
      <c r="C165" s="338"/>
      <c r="D165" s="338"/>
      <c r="E165" s="176">
        <f>E163*E164</f>
        <v>320</v>
      </c>
    </row>
    <row r="167" spans="2:5" ht="100.5" customHeight="1" x14ac:dyDescent="0.3"/>
    <row r="168" spans="2:5" x14ac:dyDescent="0.3">
      <c r="B168" s="339" t="s">
        <v>259</v>
      </c>
      <c r="C168" s="339"/>
      <c r="D168" s="339"/>
      <c r="E168" s="339"/>
    </row>
    <row r="169" spans="2:5" s="206" customFormat="1" x14ac:dyDescent="0.3">
      <c r="B169" s="340" t="s">
        <v>258</v>
      </c>
      <c r="C169" s="340"/>
      <c r="D169" s="340"/>
      <c r="E169" s="340"/>
    </row>
    <row r="170" spans="2:5" x14ac:dyDescent="0.3">
      <c r="B170" s="339" t="s">
        <v>260</v>
      </c>
      <c r="C170" s="339"/>
      <c r="D170" s="339"/>
      <c r="E170" s="339"/>
    </row>
  </sheetData>
  <sheetProtection algorithmName="SHA-512" hashValue="CdoPuoWZjTDnYY5yfuMJ+6mONOn8VqBCNOP0e9niUt9pMeZ08HujQVxt3LK1DsJqaoWL8Omgx/LhG3dEyxW+OA==" saltValue="CkeHvk+v5EN3D+2qV5909Q==" spinCount="100000" sheet="1" objects="1" scenarios="1"/>
  <mergeCells count="46">
    <mergeCell ref="B2:D3"/>
    <mergeCell ref="B52:D52"/>
    <mergeCell ref="C8:D8"/>
    <mergeCell ref="C11:E11"/>
    <mergeCell ref="C156:E156"/>
    <mergeCell ref="C132:E132"/>
    <mergeCell ref="C123:E123"/>
    <mergeCell ref="B55:D55"/>
    <mergeCell ref="B59:D59"/>
    <mergeCell ref="B150:D150"/>
    <mergeCell ref="B155:D155"/>
    <mergeCell ref="B19:D19"/>
    <mergeCell ref="B161:D161"/>
    <mergeCell ref="B49:D49"/>
    <mergeCell ref="B168:E168"/>
    <mergeCell ref="B169:E169"/>
    <mergeCell ref="B170:E170"/>
    <mergeCell ref="B165:D165"/>
    <mergeCell ref="B142:D142"/>
    <mergeCell ref="B145:D145"/>
    <mergeCell ref="B71:D71"/>
    <mergeCell ref="B89:D89"/>
    <mergeCell ref="B127:D127"/>
    <mergeCell ref="B139:D139"/>
    <mergeCell ref="B131:D131"/>
    <mergeCell ref="B122:D122"/>
    <mergeCell ref="B110:D110"/>
    <mergeCell ref="B116:D116"/>
    <mergeCell ref="B96:D96"/>
    <mergeCell ref="B111:D111"/>
    <mergeCell ref="B15:D15"/>
    <mergeCell ref="B100:D100"/>
    <mergeCell ref="B103:D103"/>
    <mergeCell ref="B107:D107"/>
    <mergeCell ref="B25:D25"/>
    <mergeCell ref="B65:D65"/>
    <mergeCell ref="B76:D76"/>
    <mergeCell ref="B80:D80"/>
    <mergeCell ref="B81:D81"/>
    <mergeCell ref="B22:D22"/>
    <mergeCell ref="B40:D40"/>
    <mergeCell ref="B43:D43"/>
    <mergeCell ref="B46:D46"/>
    <mergeCell ref="B37:D37"/>
    <mergeCell ref="B28:D28"/>
    <mergeCell ref="B31:D31"/>
  </mergeCells>
  <pageMargins left="0.78740157480314965" right="0.51181102362204722" top="0.78740157480314965" bottom="0.59055118110236227" header="0.31496062992125984" footer="0.31496062992125984"/>
  <pageSetup paperSize="9" scale="6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topLeftCell="A10" zoomScale="115" zoomScaleNormal="115" workbookViewId="0">
      <selection activeCell="D31" sqref="D31:F31"/>
    </sheetView>
  </sheetViews>
  <sheetFormatPr defaultRowHeight="16.5" x14ac:dyDescent="0.3"/>
  <cols>
    <col min="1" max="1" width="5.42578125" style="3" bestFit="1" customWidth="1"/>
    <col min="2" max="2" width="37" style="3" customWidth="1"/>
    <col min="3" max="3" width="14.28515625" style="3" bestFit="1" customWidth="1"/>
    <col min="4" max="5" width="18.7109375" style="3" customWidth="1"/>
    <col min="6" max="6" width="17.42578125" style="3" customWidth="1"/>
    <col min="7" max="7" width="17" style="3" customWidth="1"/>
    <col min="8" max="8" width="15.85546875" style="3" customWidth="1"/>
    <col min="9" max="9" width="13.7109375" style="3" customWidth="1"/>
    <col min="10" max="12" width="9.140625" style="3"/>
    <col min="13" max="13" width="13.28515625" style="3" bestFit="1" customWidth="1"/>
    <col min="14" max="16384" width="9.140625" style="3"/>
  </cols>
  <sheetData>
    <row r="1" spans="1:9" x14ac:dyDescent="0.3">
      <c r="A1" s="44"/>
      <c r="B1" s="45"/>
      <c r="C1" s="363" t="s">
        <v>69</v>
      </c>
      <c r="D1" s="364"/>
      <c r="E1" s="364"/>
      <c r="F1" s="364"/>
      <c r="G1" s="364"/>
      <c r="H1" s="364"/>
      <c r="I1" s="365"/>
    </row>
    <row r="2" spans="1:9" x14ac:dyDescent="0.3">
      <c r="A2" s="46"/>
      <c r="B2" s="47"/>
      <c r="C2" s="366"/>
      <c r="D2" s="367"/>
      <c r="E2" s="367"/>
      <c r="F2" s="367"/>
      <c r="G2" s="367"/>
      <c r="H2" s="367"/>
      <c r="I2" s="368"/>
    </row>
    <row r="3" spans="1:9" x14ac:dyDescent="0.3">
      <c r="A3" s="46"/>
      <c r="B3" s="47"/>
      <c r="C3" s="48" t="str">
        <f>[1]ORÇAMENTO!C3</f>
        <v>SETOR</v>
      </c>
      <c r="D3" s="23" t="str">
        <f>[1]ORÇAMENTO!D3</f>
        <v>SECRETARIA MUNICIPAL DE OBRAS</v>
      </c>
      <c r="E3" s="23"/>
      <c r="F3" s="23"/>
      <c r="G3" s="23"/>
      <c r="H3" s="23"/>
      <c r="I3" s="47"/>
    </row>
    <row r="4" spans="1:9" x14ac:dyDescent="0.3">
      <c r="A4" s="46"/>
      <c r="B4" s="47"/>
      <c r="C4" s="48" t="str">
        <f>[1]ORÇAMENTO!C4</f>
        <v>OBJETO</v>
      </c>
      <c r="D4" s="23" t="str">
        <f>ORÇAMENTO!E5</f>
        <v>PONTE PRÉ MOLDADA - RIBEIRÃO DO LIMOEIRO - GO 440</v>
      </c>
      <c r="E4" s="23"/>
      <c r="F4" s="23"/>
      <c r="G4" s="23"/>
      <c r="H4" s="23"/>
      <c r="I4" s="47"/>
    </row>
    <row r="5" spans="1:9" x14ac:dyDescent="0.3">
      <c r="A5" s="46"/>
      <c r="B5" s="47"/>
      <c r="C5" s="48" t="str">
        <f>[1]ORÇAMENTO!C5</f>
        <v>PROCESSO</v>
      </c>
      <c r="D5" s="49">
        <f>ORÇAMENTO!E6</f>
        <v>2022015457</v>
      </c>
      <c r="E5" s="23"/>
      <c r="F5" s="23"/>
      <c r="G5" s="23"/>
      <c r="H5" s="23"/>
      <c r="I5" s="47"/>
    </row>
    <row r="6" spans="1:9" x14ac:dyDescent="0.3">
      <c r="A6" s="46"/>
      <c r="B6" s="47"/>
      <c r="C6" s="48" t="str">
        <f>[1]ORÇAMENTO!C6</f>
        <v>ENDEREÇO</v>
      </c>
      <c r="D6" s="23" t="str">
        <f>ORÇAMENTO!E7</f>
        <v>RIBEIRÃO DO LIMOEIRO - GO 440</v>
      </c>
      <c r="E6" s="23"/>
      <c r="F6" s="23"/>
      <c r="G6" s="23"/>
      <c r="H6" s="23"/>
      <c r="I6" s="47"/>
    </row>
    <row r="7" spans="1:9" ht="16.5" customHeight="1" x14ac:dyDescent="0.3">
      <c r="A7" s="46"/>
      <c r="B7" s="47"/>
      <c r="C7" s="359" t="str">
        <f>[1]ORÇAMENTO!C7</f>
        <v>TABELAS</v>
      </c>
      <c r="D7" s="357" t="str">
        <f>ORÇAMENTO!E8</f>
        <v>TABELA DE TERRAPLENAGEM, PAVIMENTAÇÃO E OBRAS DE ARTE ESPECIAIS - GOINFRA T166 - COM DESONERAÇÃO - DATA BASE: 01/04/2022                                                                                                                                                                                  TABELA CUSTO DE OBRAS CIVIS - GOINFRA 171 - COM DESONERAÇÃO - DATA BASE: 01/05/2022                                                                                                                                                            TABELA SINAPI PCI 817.01 - DESONERADA - DATA BASE:15/06/2022                                                                                                                                                                                      TABELA SEINFRA VERSÃO 027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TABELA DER-ES - 1211704 - ABRIL/2022</v>
      </c>
      <c r="E7" s="357"/>
      <c r="F7" s="357"/>
      <c r="G7" s="357"/>
      <c r="H7" s="357"/>
      <c r="I7" s="358"/>
    </row>
    <row r="8" spans="1:9" x14ac:dyDescent="0.3">
      <c r="A8" s="46"/>
      <c r="B8" s="47"/>
      <c r="C8" s="359"/>
      <c r="D8" s="357"/>
      <c r="E8" s="357"/>
      <c r="F8" s="357"/>
      <c r="G8" s="357"/>
      <c r="H8" s="357"/>
      <c r="I8" s="358"/>
    </row>
    <row r="9" spans="1:9" x14ac:dyDescent="0.3">
      <c r="A9" s="46"/>
      <c r="B9" s="47"/>
      <c r="C9" s="359"/>
      <c r="D9" s="357"/>
      <c r="E9" s="357"/>
      <c r="F9" s="357"/>
      <c r="G9" s="357"/>
      <c r="H9" s="357"/>
      <c r="I9" s="358"/>
    </row>
    <row r="10" spans="1:9" x14ac:dyDescent="0.3">
      <c r="A10" s="46"/>
      <c r="B10" s="47"/>
      <c r="C10" s="359"/>
      <c r="D10" s="357"/>
      <c r="E10" s="357"/>
      <c r="F10" s="357"/>
      <c r="G10" s="357"/>
      <c r="H10" s="357"/>
      <c r="I10" s="358"/>
    </row>
    <row r="11" spans="1:9" ht="33" customHeight="1" x14ac:dyDescent="0.3">
      <c r="A11" s="46"/>
      <c r="B11" s="47"/>
      <c r="C11" s="359"/>
      <c r="D11" s="357"/>
      <c r="E11" s="357"/>
      <c r="F11" s="357"/>
      <c r="G11" s="357"/>
      <c r="H11" s="357"/>
      <c r="I11" s="358"/>
    </row>
    <row r="12" spans="1:9" ht="17.25" thickBot="1" x14ac:dyDescent="0.35">
      <c r="A12" s="50"/>
      <c r="B12" s="51"/>
      <c r="C12" s="52" t="str">
        <f>[1]ORÇAMENTO!C9</f>
        <v xml:space="preserve">DATA </v>
      </c>
      <c r="D12" s="53" t="str">
        <f>ORÇAMENTO!E9</f>
        <v>20 DE JUNHO 2022</v>
      </c>
      <c r="E12" s="53"/>
      <c r="F12" s="53"/>
      <c r="G12" s="53"/>
      <c r="H12" s="53"/>
      <c r="I12" s="51"/>
    </row>
    <row r="13" spans="1:9" x14ac:dyDescent="0.3">
      <c r="A13" s="54"/>
      <c r="B13" s="55"/>
      <c r="C13" s="55"/>
      <c r="D13" s="55"/>
      <c r="E13" s="55"/>
      <c r="F13" s="55"/>
      <c r="G13" s="55"/>
      <c r="H13" s="55"/>
      <c r="I13" s="55"/>
    </row>
    <row r="14" spans="1:9" x14ac:dyDescent="0.3">
      <c r="A14" s="372" t="s">
        <v>10</v>
      </c>
      <c r="B14" s="372"/>
      <c r="C14" s="372"/>
      <c r="D14" s="373" t="s">
        <v>70</v>
      </c>
      <c r="E14" s="373"/>
      <c r="F14" s="373"/>
      <c r="G14" s="373"/>
      <c r="H14" s="373"/>
      <c r="I14" s="373"/>
    </row>
    <row r="15" spans="1:9" x14ac:dyDescent="0.3">
      <c r="A15" s="372"/>
      <c r="B15" s="372"/>
      <c r="C15" s="372"/>
      <c r="D15" s="374" t="s">
        <v>79</v>
      </c>
      <c r="E15" s="374"/>
      <c r="F15" s="374"/>
      <c r="G15" s="375" t="s">
        <v>80</v>
      </c>
      <c r="H15" s="376"/>
      <c r="I15" s="377"/>
    </row>
    <row r="16" spans="1:9" x14ac:dyDescent="0.3">
      <c r="A16" s="369">
        <f>1</f>
        <v>1</v>
      </c>
      <c r="B16" s="370" t="str">
        <f>ORÇAMENTO!E13</f>
        <v xml:space="preserve">SERVIÇOS PRELIMINARES </v>
      </c>
      <c r="C16" s="56">
        <f>C18/G47</f>
        <v>7.3820829764375193E-2</v>
      </c>
      <c r="D16" s="478">
        <v>0.88</v>
      </c>
      <c r="E16" s="479"/>
      <c r="F16" s="479"/>
      <c r="G16" s="480">
        <v>0.12</v>
      </c>
      <c r="H16" s="481"/>
      <c r="I16" s="478"/>
    </row>
    <row r="17" spans="1:13" ht="5.0999999999999996" customHeight="1" x14ac:dyDescent="0.3">
      <c r="A17" s="369"/>
      <c r="B17" s="371"/>
      <c r="C17" s="57"/>
      <c r="D17" s="361"/>
      <c r="E17" s="361"/>
      <c r="F17" s="362"/>
      <c r="G17" s="361"/>
      <c r="H17" s="361"/>
      <c r="I17" s="362"/>
    </row>
    <row r="18" spans="1:13" x14ac:dyDescent="0.3">
      <c r="A18" s="369"/>
      <c r="B18" s="370"/>
      <c r="C18" s="58">
        <f>ORÇAMENTO!M20</f>
        <v>17004.546555000001</v>
      </c>
      <c r="D18" s="353">
        <f>D16*$C$18</f>
        <v>14964.000968400002</v>
      </c>
      <c r="E18" s="354"/>
      <c r="F18" s="354"/>
      <c r="G18" s="354">
        <f>G16*$C$18</f>
        <v>2040.5455866</v>
      </c>
      <c r="H18" s="354"/>
      <c r="I18" s="354"/>
    </row>
    <row r="19" spans="1:13" x14ac:dyDescent="0.3">
      <c r="A19" s="381">
        <v>2</v>
      </c>
      <c r="B19" s="378" t="str">
        <f>ORÇAMENTO!E22</f>
        <v>TRANSPORTE</v>
      </c>
      <c r="C19" s="56">
        <f>C21/G47</f>
        <v>6.9920228081495478E-2</v>
      </c>
      <c r="D19" s="479">
        <v>0.75</v>
      </c>
      <c r="E19" s="479"/>
      <c r="F19" s="479"/>
      <c r="G19" s="481">
        <v>0.25</v>
      </c>
      <c r="H19" s="481"/>
      <c r="I19" s="478"/>
    </row>
    <row r="20" spans="1:13" ht="5.0999999999999996" customHeight="1" x14ac:dyDescent="0.3">
      <c r="A20" s="382"/>
      <c r="B20" s="384"/>
      <c r="C20" s="59"/>
      <c r="D20" s="361"/>
      <c r="E20" s="361"/>
      <c r="F20" s="362"/>
      <c r="G20" s="361"/>
      <c r="H20" s="361"/>
      <c r="I20" s="362"/>
      <c r="J20" s="302"/>
    </row>
    <row r="21" spans="1:13" x14ac:dyDescent="0.3">
      <c r="A21" s="383"/>
      <c r="B21" s="380"/>
      <c r="C21" s="59">
        <f>ORÇAMENTO!M31</f>
        <v>16106.047268</v>
      </c>
      <c r="D21" s="356">
        <f>D19*$C$21</f>
        <v>12079.535451</v>
      </c>
      <c r="E21" s="356"/>
      <c r="F21" s="353"/>
      <c r="G21" s="356">
        <f>G19*$C$21</f>
        <v>4026.5118170000001</v>
      </c>
      <c r="H21" s="356"/>
      <c r="I21" s="353"/>
    </row>
    <row r="22" spans="1:13" x14ac:dyDescent="0.3">
      <c r="A22" s="369">
        <v>3</v>
      </c>
      <c r="B22" s="378" t="str">
        <f>ORÇAMENTO!E33</f>
        <v>INFRA-ESTRUTURA</v>
      </c>
      <c r="C22" s="56">
        <f>C24/G47</f>
        <v>4.2568260605327049E-2</v>
      </c>
      <c r="D22" s="478">
        <v>1</v>
      </c>
      <c r="E22" s="479"/>
      <c r="F22" s="479"/>
      <c r="G22" s="480"/>
      <c r="H22" s="481"/>
      <c r="I22" s="478"/>
    </row>
    <row r="23" spans="1:13" ht="5.0999999999999996" customHeight="1" x14ac:dyDescent="0.3">
      <c r="A23" s="369"/>
      <c r="B23" s="379"/>
      <c r="C23" s="60"/>
      <c r="D23" s="361"/>
      <c r="E23" s="361"/>
      <c r="F23" s="362"/>
      <c r="G23" s="360"/>
      <c r="H23" s="361"/>
      <c r="I23" s="362"/>
    </row>
    <row r="24" spans="1:13" x14ac:dyDescent="0.3">
      <c r="A24" s="369"/>
      <c r="B24" s="380"/>
      <c r="C24" s="58">
        <f>ORÇAMENTO!M37</f>
        <v>9805.5517872000019</v>
      </c>
      <c r="D24" s="353">
        <f>D22*$C$24</f>
        <v>9805.5517872000019</v>
      </c>
      <c r="E24" s="354"/>
      <c r="F24" s="354"/>
      <c r="G24" s="354">
        <f>G22*$C$24</f>
        <v>0</v>
      </c>
      <c r="H24" s="354"/>
      <c r="I24" s="354"/>
      <c r="M24" s="61"/>
    </row>
    <row r="25" spans="1:13" x14ac:dyDescent="0.3">
      <c r="A25" s="369">
        <v>4</v>
      </c>
      <c r="B25" s="370" t="str">
        <f>ORÇAMENTO!E39</f>
        <v xml:space="preserve"> TUBULÃO CEU ABERTO (TCA)</v>
      </c>
      <c r="C25" s="56">
        <f>C27/G47</f>
        <v>5.0719197269540627E-2</v>
      </c>
      <c r="D25" s="482">
        <v>1</v>
      </c>
      <c r="E25" s="483"/>
      <c r="F25" s="483"/>
      <c r="G25" s="484"/>
      <c r="H25" s="485"/>
      <c r="I25" s="482"/>
    </row>
    <row r="26" spans="1:13" ht="5.0999999999999996" customHeight="1" x14ac:dyDescent="0.3">
      <c r="A26" s="369"/>
      <c r="B26" s="371"/>
      <c r="C26" s="60"/>
      <c r="D26" s="361"/>
      <c r="E26" s="361"/>
      <c r="F26" s="362"/>
      <c r="G26" s="360"/>
      <c r="H26" s="361"/>
      <c r="I26" s="362"/>
    </row>
    <row r="27" spans="1:13" x14ac:dyDescent="0.3">
      <c r="A27" s="369"/>
      <c r="B27" s="370"/>
      <c r="C27" s="58">
        <f>ORÇAMENTO!M41</f>
        <v>11683.111040000002</v>
      </c>
      <c r="D27" s="353">
        <f>D25*$C$27</f>
        <v>11683.111040000002</v>
      </c>
      <c r="E27" s="354"/>
      <c r="F27" s="354"/>
      <c r="G27" s="355">
        <f>G25*$C$27</f>
        <v>0</v>
      </c>
      <c r="H27" s="356"/>
      <c r="I27" s="353"/>
    </row>
    <row r="28" spans="1:13" x14ac:dyDescent="0.3">
      <c r="A28" s="369">
        <f>A25+1</f>
        <v>5</v>
      </c>
      <c r="B28" s="385" t="str">
        <f>ORÇAMENTO!E43</f>
        <v>MESO-ESTRUTURA</v>
      </c>
      <c r="C28" s="56">
        <f>C30/G47</f>
        <v>6.900789498246418E-2</v>
      </c>
      <c r="D28" s="481">
        <v>0.25</v>
      </c>
      <c r="E28" s="481"/>
      <c r="F28" s="478"/>
      <c r="G28" s="480">
        <v>0.75</v>
      </c>
      <c r="H28" s="481"/>
      <c r="I28" s="478"/>
    </row>
    <row r="29" spans="1:13" ht="5.0999999999999996" customHeight="1" x14ac:dyDescent="0.3">
      <c r="A29" s="369"/>
      <c r="B29" s="386"/>
      <c r="C29" s="62"/>
      <c r="D29" s="361"/>
      <c r="E29" s="361"/>
      <c r="F29" s="362"/>
      <c r="G29" s="361"/>
      <c r="H29" s="361"/>
      <c r="I29" s="362"/>
    </row>
    <row r="30" spans="1:13" x14ac:dyDescent="0.3">
      <c r="A30" s="369"/>
      <c r="B30" s="385"/>
      <c r="C30" s="58">
        <f>ORÇAMENTO!M47</f>
        <v>15895.89234688</v>
      </c>
      <c r="D30" s="353">
        <f>D28*$C$30</f>
        <v>3973.9730867200001</v>
      </c>
      <c r="E30" s="354"/>
      <c r="F30" s="354"/>
      <c r="G30" s="355">
        <f>G28*$C$30</f>
        <v>11921.919260160001</v>
      </c>
      <c r="H30" s="356"/>
      <c r="I30" s="353"/>
    </row>
    <row r="31" spans="1:13" x14ac:dyDescent="0.3">
      <c r="A31" s="369">
        <f>A28+1</f>
        <v>6</v>
      </c>
      <c r="B31" s="385" t="str">
        <f>ORÇAMENTO!E49</f>
        <v>ESCORAMENTO</v>
      </c>
      <c r="C31" s="56">
        <f>C33/G47</f>
        <v>2.5911997551504404E-2</v>
      </c>
      <c r="D31" s="482">
        <v>0.2</v>
      </c>
      <c r="E31" s="483"/>
      <c r="F31" s="483"/>
      <c r="G31" s="484">
        <v>0.8</v>
      </c>
      <c r="H31" s="485"/>
      <c r="I31" s="482"/>
    </row>
    <row r="32" spans="1:13" ht="5.0999999999999996" customHeight="1" x14ac:dyDescent="0.3">
      <c r="A32" s="369"/>
      <c r="B32" s="386"/>
      <c r="C32" s="62"/>
      <c r="D32" s="361"/>
      <c r="E32" s="361"/>
      <c r="F32" s="362"/>
      <c r="G32" s="361"/>
      <c r="H32" s="361"/>
      <c r="I32" s="362"/>
    </row>
    <row r="33" spans="1:9" x14ac:dyDescent="0.3">
      <c r="A33" s="369"/>
      <c r="B33" s="385"/>
      <c r="C33" s="58">
        <f>ORÇAMENTO!M51</f>
        <v>5968.8</v>
      </c>
      <c r="D33" s="355">
        <f>D31*$C$33</f>
        <v>1193.76</v>
      </c>
      <c r="E33" s="356"/>
      <c r="F33" s="353"/>
      <c r="G33" s="355">
        <f>G31*$C$33</f>
        <v>4775.04</v>
      </c>
      <c r="H33" s="356"/>
      <c r="I33" s="353"/>
    </row>
    <row r="34" spans="1:9" x14ac:dyDescent="0.3">
      <c r="A34" s="369">
        <f>A31+1</f>
        <v>7</v>
      </c>
      <c r="B34" s="387" t="str">
        <f>ORÇAMENTO!E53</f>
        <v>SUPER-ESTRUTURA</v>
      </c>
      <c r="C34" s="56">
        <f>C36/G47</f>
        <v>0.52914912017266458</v>
      </c>
      <c r="D34" s="485">
        <v>0.1</v>
      </c>
      <c r="E34" s="485"/>
      <c r="F34" s="482"/>
      <c r="G34" s="484">
        <v>0.9</v>
      </c>
      <c r="H34" s="485"/>
      <c r="I34" s="482"/>
    </row>
    <row r="35" spans="1:9" ht="5.0999999999999996" customHeight="1" x14ac:dyDescent="0.3">
      <c r="A35" s="369"/>
      <c r="B35" s="388"/>
      <c r="C35" s="62"/>
      <c r="D35" s="361"/>
      <c r="E35" s="361"/>
      <c r="F35" s="362"/>
      <c r="G35" s="361"/>
      <c r="H35" s="361"/>
      <c r="I35" s="362"/>
    </row>
    <row r="36" spans="1:9" x14ac:dyDescent="0.3">
      <c r="A36" s="369"/>
      <c r="B36" s="389"/>
      <c r="C36" s="58">
        <f>ORÇAMENTO!M56</f>
        <v>121888.915056</v>
      </c>
      <c r="D36" s="353">
        <f>D34*$C$36</f>
        <v>12188.891505600001</v>
      </c>
      <c r="E36" s="354"/>
      <c r="F36" s="354"/>
      <c r="G36" s="355">
        <f>G34*$C$36</f>
        <v>109700.0235504</v>
      </c>
      <c r="H36" s="356"/>
      <c r="I36" s="353"/>
    </row>
    <row r="37" spans="1:9" x14ac:dyDescent="0.3">
      <c r="A37" s="369">
        <f>A34+1</f>
        <v>8</v>
      </c>
      <c r="B37" s="378" t="str">
        <f>ORÇAMENTO!E58</f>
        <v>SERVIÇOS COMPLEMENTARES</v>
      </c>
      <c r="C37" s="56">
        <f>C39/G47</f>
        <v>6.5537287732045812E-2</v>
      </c>
      <c r="D37" s="486"/>
      <c r="E37" s="486"/>
      <c r="F37" s="487"/>
      <c r="G37" s="484">
        <v>1</v>
      </c>
      <c r="H37" s="485"/>
      <c r="I37" s="482"/>
    </row>
    <row r="38" spans="1:9" ht="5.0999999999999996" customHeight="1" x14ac:dyDescent="0.3">
      <c r="A38" s="369"/>
      <c r="B38" s="384"/>
      <c r="C38" s="62"/>
      <c r="D38" s="361"/>
      <c r="E38" s="361"/>
      <c r="F38" s="362"/>
      <c r="G38" s="361"/>
      <c r="H38" s="361"/>
      <c r="I38" s="362"/>
    </row>
    <row r="39" spans="1:9" x14ac:dyDescent="0.3">
      <c r="A39" s="369"/>
      <c r="B39" s="380"/>
      <c r="C39" s="58">
        <f>ORÇAMENTO!M64</f>
        <v>15096.441802199997</v>
      </c>
      <c r="D39" s="353">
        <f>D37*$C$39</f>
        <v>0</v>
      </c>
      <c r="E39" s="354"/>
      <c r="F39" s="354"/>
      <c r="G39" s="355">
        <f>G37*$C$39</f>
        <v>15096.441802199997</v>
      </c>
      <c r="H39" s="356"/>
      <c r="I39" s="353"/>
    </row>
    <row r="40" spans="1:9" x14ac:dyDescent="0.3">
      <c r="A40" s="369">
        <v>9</v>
      </c>
      <c r="B40" s="378" t="str">
        <f>ORÇAMENTO!E66</f>
        <v>ADMINISTRAÇÃO</v>
      </c>
      <c r="C40" s="56">
        <f>C42/G47</f>
        <v>7.3365183840582812E-2</v>
      </c>
      <c r="D40" s="485">
        <v>0.45</v>
      </c>
      <c r="E40" s="485"/>
      <c r="F40" s="482"/>
      <c r="G40" s="484">
        <v>0.55000000000000004</v>
      </c>
      <c r="H40" s="485"/>
      <c r="I40" s="482"/>
    </row>
    <row r="41" spans="1:9" ht="5.0999999999999996" customHeight="1" x14ac:dyDescent="0.3">
      <c r="A41" s="369"/>
      <c r="B41" s="384"/>
      <c r="C41" s="62"/>
      <c r="D41" s="361"/>
      <c r="E41" s="361"/>
      <c r="F41" s="362"/>
      <c r="G41" s="361"/>
      <c r="H41" s="361"/>
      <c r="I41" s="362"/>
    </row>
    <row r="42" spans="1:9" x14ac:dyDescent="0.3">
      <c r="A42" s="369"/>
      <c r="B42" s="380"/>
      <c r="C42" s="58">
        <f>ORÇAMENTO!M69</f>
        <v>16899.589019999999</v>
      </c>
      <c r="D42" s="353">
        <f>D40*$C$42</f>
        <v>7604.8150589999996</v>
      </c>
      <c r="E42" s="354"/>
      <c r="F42" s="354"/>
      <c r="G42" s="355">
        <f>G40*$C$42</f>
        <v>9294.7739610000008</v>
      </c>
      <c r="H42" s="356"/>
      <c r="I42" s="353"/>
    </row>
    <row r="43" spans="1:9" x14ac:dyDescent="0.3">
      <c r="A43" s="63"/>
      <c r="B43" s="405"/>
      <c r="C43" s="405"/>
      <c r="D43" s="405"/>
      <c r="E43" s="405"/>
      <c r="F43" s="405"/>
      <c r="G43" s="405"/>
      <c r="H43" s="405"/>
      <c r="I43" s="405"/>
    </row>
    <row r="44" spans="1:9" x14ac:dyDescent="0.3">
      <c r="A44" s="396" t="s">
        <v>71</v>
      </c>
      <c r="B44" s="397"/>
      <c r="C44" s="398"/>
      <c r="D44" s="390">
        <f>D47/G47</f>
        <v>0.31905357713008514</v>
      </c>
      <c r="E44" s="391"/>
      <c r="F44" s="392"/>
      <c r="G44" s="390">
        <f>G46/G47</f>
        <v>0.68094642286991491</v>
      </c>
      <c r="H44" s="391"/>
      <c r="I44" s="392"/>
    </row>
    <row r="45" spans="1:9" x14ac:dyDescent="0.3">
      <c r="A45" s="396" t="s">
        <v>72</v>
      </c>
      <c r="B45" s="397"/>
      <c r="C45" s="398"/>
      <c r="D45" s="393">
        <f>D44</f>
        <v>0.31905357713008514</v>
      </c>
      <c r="E45" s="394"/>
      <c r="F45" s="395"/>
      <c r="G45" s="393">
        <f>D44+G44</f>
        <v>1</v>
      </c>
      <c r="H45" s="394"/>
      <c r="I45" s="395"/>
    </row>
    <row r="46" spans="1:9" x14ac:dyDescent="0.3">
      <c r="A46" s="396" t="s">
        <v>73</v>
      </c>
      <c r="B46" s="397"/>
      <c r="C46" s="398"/>
      <c r="D46" s="399">
        <f>D18+D21+D24+D27+D30+D33+D36+D39+D42</f>
        <v>73493.638897920013</v>
      </c>
      <c r="E46" s="400"/>
      <c r="F46" s="401"/>
      <c r="G46" s="399">
        <f>G18+G21+G24+G27+G30+G33+G36+G39+G42</f>
        <v>156855.25597735998</v>
      </c>
      <c r="H46" s="400"/>
      <c r="I46" s="401"/>
    </row>
    <row r="47" spans="1:9" x14ac:dyDescent="0.3">
      <c r="A47" s="396" t="s">
        <v>74</v>
      </c>
      <c r="B47" s="397"/>
      <c r="C47" s="398"/>
      <c r="D47" s="402">
        <f>D46</f>
        <v>73493.638897920013</v>
      </c>
      <c r="E47" s="403"/>
      <c r="F47" s="404"/>
      <c r="G47" s="402">
        <f>D46+G46</f>
        <v>230348.89487527998</v>
      </c>
      <c r="H47" s="403"/>
      <c r="I47" s="404"/>
    </row>
    <row r="50" spans="2:8" ht="84" customHeight="1" x14ac:dyDescent="0.3"/>
    <row r="52" spans="2:8" x14ac:dyDescent="0.3">
      <c r="B52" s="64"/>
      <c r="C52" s="22" t="s">
        <v>265</v>
      </c>
      <c r="D52" s="23"/>
      <c r="E52" s="22"/>
      <c r="F52" s="22" t="s">
        <v>266</v>
      </c>
      <c r="G52" s="24"/>
    </row>
    <row r="53" spans="2:8" x14ac:dyDescent="0.3">
      <c r="B53" s="64"/>
      <c r="C53" s="25" t="s">
        <v>76</v>
      </c>
      <c r="D53" s="23"/>
      <c r="E53" s="22"/>
      <c r="F53" s="26" t="s">
        <v>257</v>
      </c>
      <c r="G53" s="24"/>
    </row>
    <row r="54" spans="2:8" x14ac:dyDescent="0.3">
      <c r="B54" s="28"/>
      <c r="C54" s="27" t="s">
        <v>77</v>
      </c>
      <c r="D54" s="23"/>
      <c r="E54" s="22"/>
      <c r="F54" s="27" t="s">
        <v>256</v>
      </c>
      <c r="G54" s="28"/>
    </row>
    <row r="56" spans="2:8" x14ac:dyDescent="0.3">
      <c r="H56" s="65"/>
    </row>
    <row r="57" spans="2:8" x14ac:dyDescent="0.3">
      <c r="H57" s="65"/>
    </row>
    <row r="58" spans="2:8" x14ac:dyDescent="0.3">
      <c r="H58" s="66"/>
    </row>
  </sheetData>
  <sheetProtection algorithmName="SHA-512" hashValue="fJH6FZPZomVo8rV2B5Cg2BVVicDQjNuKY5Z3q5pNNvzRHgIjP98p5kquAO7RmDiuoENcKf81hK6GFge+CgH+7Q==" saltValue="/amQ5WwwGmTjsKcESbqNyQ==" spinCount="100000" sheet="1" objects="1" scenarios="1"/>
  <mergeCells count="93">
    <mergeCell ref="D29:F29"/>
    <mergeCell ref="G46:I46"/>
    <mergeCell ref="G47:I47"/>
    <mergeCell ref="D36:F36"/>
    <mergeCell ref="D39:F39"/>
    <mergeCell ref="D32:F32"/>
    <mergeCell ref="D33:F33"/>
    <mergeCell ref="B43:I43"/>
    <mergeCell ref="A45:C45"/>
    <mergeCell ref="A46:C46"/>
    <mergeCell ref="A47:C47"/>
    <mergeCell ref="D31:F31"/>
    <mergeCell ref="D44:F44"/>
    <mergeCell ref="D45:F45"/>
    <mergeCell ref="D46:F46"/>
    <mergeCell ref="D47:F47"/>
    <mergeCell ref="D22:F22"/>
    <mergeCell ref="D23:F23"/>
    <mergeCell ref="D25:F25"/>
    <mergeCell ref="D26:F26"/>
    <mergeCell ref="D27:F27"/>
    <mergeCell ref="A44:C44"/>
    <mergeCell ref="G32:I32"/>
    <mergeCell ref="G33:I33"/>
    <mergeCell ref="D38:F38"/>
    <mergeCell ref="D37:F37"/>
    <mergeCell ref="D35:F35"/>
    <mergeCell ref="D34:F34"/>
    <mergeCell ref="A37:A39"/>
    <mergeCell ref="B37:B39"/>
    <mergeCell ref="A40:A42"/>
    <mergeCell ref="B40:B42"/>
    <mergeCell ref="D40:F40"/>
    <mergeCell ref="G40:I40"/>
    <mergeCell ref="D41:F41"/>
    <mergeCell ref="G38:I38"/>
    <mergeCell ref="G39:I39"/>
    <mergeCell ref="G20:I20"/>
    <mergeCell ref="G21:I21"/>
    <mergeCell ref="G44:I44"/>
    <mergeCell ref="G45:I45"/>
    <mergeCell ref="G27:I27"/>
    <mergeCell ref="G35:I35"/>
    <mergeCell ref="G28:I28"/>
    <mergeCell ref="G29:I29"/>
    <mergeCell ref="G30:I30"/>
    <mergeCell ref="G36:I36"/>
    <mergeCell ref="G37:I37"/>
    <mergeCell ref="G31:I31"/>
    <mergeCell ref="G34:I34"/>
    <mergeCell ref="G41:I41"/>
    <mergeCell ref="A28:A30"/>
    <mergeCell ref="B28:B30"/>
    <mergeCell ref="A31:A33"/>
    <mergeCell ref="B31:B33"/>
    <mergeCell ref="A34:A36"/>
    <mergeCell ref="B34:B36"/>
    <mergeCell ref="A22:A24"/>
    <mergeCell ref="B22:B24"/>
    <mergeCell ref="A25:A27"/>
    <mergeCell ref="B25:B27"/>
    <mergeCell ref="A19:A21"/>
    <mergeCell ref="B19:B21"/>
    <mergeCell ref="C1:I2"/>
    <mergeCell ref="A16:A18"/>
    <mergeCell ref="B16:B18"/>
    <mergeCell ref="D16:F16"/>
    <mergeCell ref="D17:F17"/>
    <mergeCell ref="D18:F18"/>
    <mergeCell ref="G16:I16"/>
    <mergeCell ref="G17:I17"/>
    <mergeCell ref="A14:A15"/>
    <mergeCell ref="B14:C15"/>
    <mergeCell ref="D14:I14"/>
    <mergeCell ref="D15:F15"/>
    <mergeCell ref="G15:I15"/>
    <mergeCell ref="G18:I18"/>
    <mergeCell ref="D42:F42"/>
    <mergeCell ref="G42:I42"/>
    <mergeCell ref="D7:I11"/>
    <mergeCell ref="C7:C11"/>
    <mergeCell ref="G26:I26"/>
    <mergeCell ref="G24:I24"/>
    <mergeCell ref="D24:F24"/>
    <mergeCell ref="D30:F30"/>
    <mergeCell ref="G22:I22"/>
    <mergeCell ref="G23:I23"/>
    <mergeCell ref="G25:I25"/>
    <mergeCell ref="D28:F28"/>
    <mergeCell ref="D19:F19"/>
    <mergeCell ref="D20:F20"/>
    <mergeCell ref="D21:F21"/>
    <mergeCell ref="G19:I19"/>
  </mergeCells>
  <conditionalFormatting sqref="D23 G23">
    <cfRule type="expression" dxfId="12" priority="31">
      <formula>IF(D22="",0,1)</formula>
    </cfRule>
  </conditionalFormatting>
  <conditionalFormatting sqref="G26">
    <cfRule type="expression" dxfId="11" priority="29">
      <formula>IF(G25="",0,1)</formula>
    </cfRule>
  </conditionalFormatting>
  <conditionalFormatting sqref="D38">
    <cfRule type="expression" dxfId="10" priority="25">
      <formula>IF(D37="",0,1)</formula>
    </cfRule>
  </conditionalFormatting>
  <conditionalFormatting sqref="D20">
    <cfRule type="expression" dxfId="9" priority="10">
      <formula>IF(D19="",0,1)</formula>
    </cfRule>
  </conditionalFormatting>
  <conditionalFormatting sqref="D17">
    <cfRule type="expression" dxfId="8" priority="9">
      <formula>IF(D16="",0,1)</formula>
    </cfRule>
  </conditionalFormatting>
  <conditionalFormatting sqref="G17">
    <cfRule type="expression" dxfId="7" priority="8">
      <formula>IF(G16="",0,1)</formula>
    </cfRule>
  </conditionalFormatting>
  <conditionalFormatting sqref="G20">
    <cfRule type="expression" dxfId="6" priority="7">
      <formula>IF(G19="",0,1)</formula>
    </cfRule>
  </conditionalFormatting>
  <conditionalFormatting sqref="D26">
    <cfRule type="expression" dxfId="5" priority="6">
      <formula>IF(D25="",0,1)</formula>
    </cfRule>
  </conditionalFormatting>
  <conditionalFormatting sqref="D29 G29">
    <cfRule type="expression" dxfId="4" priority="5">
      <formula>IF(D28="",0,1)</formula>
    </cfRule>
  </conditionalFormatting>
  <conditionalFormatting sqref="D32 G32">
    <cfRule type="expression" dxfId="3" priority="4">
      <formula>IF(D31="",0,1)</formula>
    </cfRule>
  </conditionalFormatting>
  <conditionalFormatting sqref="D35 G35">
    <cfRule type="expression" dxfId="2" priority="3">
      <formula>IF(D34="",0,1)</formula>
    </cfRule>
  </conditionalFormatting>
  <conditionalFormatting sqref="G38">
    <cfRule type="expression" dxfId="1" priority="2">
      <formula>IF(G37="",0,1)</formula>
    </cfRule>
  </conditionalFormatting>
  <conditionalFormatting sqref="D41 G41">
    <cfRule type="expression" dxfId="0" priority="1">
      <formula>IF(D40="",0,1)</formula>
    </cfRule>
  </conditionalFormatting>
  <pageMargins left="0.51181102362204722" right="0.51181102362204722" top="1.5748031496062993" bottom="0.78740157480314965" header="0.31496062992125984" footer="0.31496062992125984"/>
  <pageSetup paperSize="9" scale="55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opLeftCell="A4" zoomScale="120" zoomScaleNormal="120" workbookViewId="0">
      <selection activeCell="F16" sqref="F16"/>
    </sheetView>
  </sheetViews>
  <sheetFormatPr defaultRowHeight="16.5" x14ac:dyDescent="0.3"/>
  <cols>
    <col min="1" max="1" width="18.5703125" style="411" customWidth="1"/>
    <col min="2" max="2" width="11.85546875" style="411" customWidth="1"/>
    <col min="3" max="3" width="21" style="411" customWidth="1"/>
    <col min="4" max="4" width="13.140625" style="411" customWidth="1"/>
    <col min="5" max="5" width="12.140625" style="411" customWidth="1"/>
    <col min="6" max="6" width="13.42578125" style="411" customWidth="1"/>
    <col min="7" max="7" width="11.7109375" style="411" customWidth="1"/>
    <col min="8" max="8" width="12.7109375" style="411" customWidth="1"/>
    <col min="9" max="9" width="12.5703125" style="411" customWidth="1"/>
    <col min="10" max="10" width="18.7109375" style="411" customWidth="1"/>
    <col min="11" max="14" width="9.140625" style="411"/>
    <col min="15" max="15" width="19.5703125" style="411" customWidth="1"/>
    <col min="16" max="16384" width="9.140625" style="411"/>
  </cols>
  <sheetData>
    <row r="1" spans="1:15" x14ac:dyDescent="0.3">
      <c r="A1" s="409"/>
      <c r="B1" s="410"/>
      <c r="C1" s="341" t="s">
        <v>81</v>
      </c>
      <c r="D1" s="342"/>
      <c r="E1" s="342"/>
      <c r="F1" s="342"/>
      <c r="G1" s="342"/>
      <c r="H1" s="342"/>
      <c r="I1" s="342"/>
      <c r="J1" s="343"/>
    </row>
    <row r="2" spans="1:15" x14ac:dyDescent="0.3">
      <c r="A2" s="412"/>
      <c r="B2" s="413"/>
      <c r="C2" s="344"/>
      <c r="D2" s="311"/>
      <c r="E2" s="311"/>
      <c r="F2" s="311"/>
      <c r="G2" s="311"/>
      <c r="H2" s="311"/>
      <c r="I2" s="311"/>
      <c r="J2" s="312"/>
    </row>
    <row r="3" spans="1:15" x14ac:dyDescent="0.3">
      <c r="A3" s="414"/>
      <c r="B3" s="415"/>
      <c r="C3" s="416" t="str">
        <f>[1]ORÇAMENTO!C3</f>
        <v>SETOR</v>
      </c>
      <c r="D3" s="417" t="str">
        <f>[1]ORÇAMENTO!D3</f>
        <v>SECRETARIA MUNICIPAL DE OBRAS</v>
      </c>
      <c r="E3" s="416"/>
      <c r="F3" s="416"/>
      <c r="G3" s="416"/>
      <c r="H3" s="416"/>
      <c r="I3" s="416"/>
      <c r="J3" s="415"/>
    </row>
    <row r="4" spans="1:15" x14ac:dyDescent="0.3">
      <c r="A4" s="418"/>
      <c r="B4" s="419"/>
      <c r="C4" s="416" t="str">
        <f>[1]ORÇAMENTO!C4</f>
        <v>OBJETO</v>
      </c>
      <c r="D4" s="417" t="str">
        <f>CRONOGRAMA!D4</f>
        <v>PONTE PRÉ MOLDADA - RIBEIRÃO DO LIMOEIRO - GO 440</v>
      </c>
      <c r="E4" s="420"/>
      <c r="F4" s="420"/>
      <c r="G4" s="420"/>
      <c r="H4" s="420"/>
      <c r="I4" s="420"/>
      <c r="J4" s="419"/>
    </row>
    <row r="5" spans="1:15" x14ac:dyDescent="0.3">
      <c r="A5" s="421"/>
      <c r="B5" s="422"/>
      <c r="C5" s="416" t="str">
        <f>[1]ORÇAMENTO!C5</f>
        <v>PROCESSO</v>
      </c>
      <c r="D5" s="417">
        <f>CRONOGRAMA!D5</f>
        <v>2022015457</v>
      </c>
      <c r="E5" s="423"/>
      <c r="F5" s="423"/>
      <c r="G5" s="423"/>
      <c r="H5" s="423"/>
      <c r="I5" s="423"/>
      <c r="J5" s="422"/>
    </row>
    <row r="6" spans="1:15" x14ac:dyDescent="0.3">
      <c r="A6" s="421"/>
      <c r="B6" s="422"/>
      <c r="C6" s="416" t="str">
        <f>[1]ORÇAMENTO!C6</f>
        <v>ENDEREÇO</v>
      </c>
      <c r="D6" s="417" t="str">
        <f>CRONOGRAMA!D6</f>
        <v>RIBEIRÃO DO LIMOEIRO - GO 440</v>
      </c>
      <c r="E6" s="423"/>
      <c r="F6" s="423"/>
      <c r="G6" s="423"/>
      <c r="H6" s="423"/>
      <c r="I6" s="423"/>
      <c r="J6" s="422"/>
    </row>
    <row r="7" spans="1:15" ht="33" customHeight="1" x14ac:dyDescent="0.3">
      <c r="A7" s="421"/>
      <c r="B7" s="422"/>
      <c r="C7" s="424" t="str">
        <f>[1]ORÇAMENTO!C7</f>
        <v>TABELAS</v>
      </c>
      <c r="D7" s="425" t="str">
        <f>ORÇAMENTO!E8</f>
        <v>TABELA DE TERRAPLENAGEM, PAVIMENTAÇÃO E OBRAS DE ARTE ESPECIAIS - GOINFRA T166 - COM DESONERAÇÃO - DATA BASE: 01/04/2022                                                                                                                                                                                  TABELA CUSTO DE OBRAS CIVIS - GOINFRA 171 - COM DESONERAÇÃO - DATA BASE: 01/05/2022                                                                                                                                                            TABELA SINAPI PCI 817.01 - DESONERADA - DATA BASE:15/06/2022                                                                                                                                                                                      TABELA SEINFRA VERSÃO 027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TABELA DER-ES - 1211704 - ABRIL/2022</v>
      </c>
      <c r="E7" s="425"/>
      <c r="F7" s="425"/>
      <c r="G7" s="425"/>
      <c r="H7" s="425"/>
      <c r="I7" s="425"/>
      <c r="J7" s="426"/>
    </row>
    <row r="8" spans="1:15" ht="32.25" customHeight="1" x14ac:dyDescent="0.3">
      <c r="A8" s="421"/>
      <c r="B8" s="422"/>
      <c r="C8" s="424"/>
      <c r="D8" s="425"/>
      <c r="E8" s="425"/>
      <c r="F8" s="425"/>
      <c r="G8" s="425"/>
      <c r="H8" s="425"/>
      <c r="I8" s="425"/>
      <c r="J8" s="426"/>
    </row>
    <row r="9" spans="1:15" x14ac:dyDescent="0.3">
      <c r="A9" s="421"/>
      <c r="B9" s="422"/>
      <c r="C9" s="424"/>
      <c r="D9" s="425"/>
      <c r="E9" s="425"/>
      <c r="F9" s="425"/>
      <c r="G9" s="425"/>
      <c r="H9" s="425"/>
      <c r="I9" s="425"/>
      <c r="J9" s="426"/>
    </row>
    <row r="10" spans="1:15" x14ac:dyDescent="0.3">
      <c r="A10" s="421"/>
      <c r="B10" s="422"/>
      <c r="C10" s="424"/>
      <c r="D10" s="425"/>
      <c r="E10" s="425"/>
      <c r="F10" s="425"/>
      <c r="G10" s="425"/>
      <c r="H10" s="425"/>
      <c r="I10" s="425"/>
      <c r="J10" s="426"/>
    </row>
    <row r="11" spans="1:15" ht="17.25" thickBot="1" x14ac:dyDescent="0.35">
      <c r="A11" s="427"/>
      <c r="B11" s="428"/>
      <c r="C11" s="429" t="str">
        <f>[1]ORÇAMENTO!C9</f>
        <v xml:space="preserve">DATA </v>
      </c>
      <c r="D11" s="430" t="str">
        <f>CRONOGRAMA!D12</f>
        <v>20 DE JUNHO 2022</v>
      </c>
      <c r="E11" s="431"/>
      <c r="F11" s="431"/>
      <c r="G11" s="431"/>
      <c r="H11" s="431"/>
      <c r="I11" s="431"/>
      <c r="J11" s="428"/>
    </row>
    <row r="12" spans="1:15" ht="8.25" customHeight="1" thickBot="1" x14ac:dyDescent="0.35">
      <c r="A12" s="427"/>
      <c r="B12" s="431"/>
      <c r="C12" s="429"/>
      <c r="D12" s="430"/>
      <c r="E12" s="431"/>
      <c r="F12" s="431"/>
      <c r="G12" s="431"/>
      <c r="H12" s="431"/>
      <c r="I12" s="431"/>
      <c r="J12" s="428"/>
    </row>
    <row r="13" spans="1:15" ht="16.5" customHeight="1" thickBot="1" x14ac:dyDescent="0.35">
      <c r="A13" s="432" t="s">
        <v>122</v>
      </c>
      <c r="B13" s="433"/>
      <c r="C13" s="433"/>
      <c r="D13" s="433"/>
      <c r="E13" s="433"/>
      <c r="F13" s="433"/>
      <c r="G13" s="433"/>
      <c r="H13" s="433"/>
      <c r="I13" s="433"/>
      <c r="J13" s="434"/>
    </row>
    <row r="14" spans="1:15" ht="8.25" customHeight="1" thickBot="1" x14ac:dyDescent="0.35">
      <c r="A14" s="435"/>
      <c r="B14" s="436"/>
      <c r="C14" s="436"/>
      <c r="D14" s="436"/>
      <c r="E14" s="436"/>
      <c r="F14" s="436"/>
      <c r="G14" s="436"/>
      <c r="H14" s="436"/>
      <c r="I14" s="436"/>
      <c r="J14" s="437"/>
    </row>
    <row r="15" spans="1:15" ht="38.25" customHeight="1" x14ac:dyDescent="0.3">
      <c r="A15" s="438" t="s">
        <v>149</v>
      </c>
      <c r="B15" s="439" t="s">
        <v>150</v>
      </c>
      <c r="C15" s="439" t="s">
        <v>151</v>
      </c>
      <c r="D15" s="439" t="s">
        <v>152</v>
      </c>
      <c r="E15" s="439" t="s">
        <v>153</v>
      </c>
      <c r="F15" s="439" t="s">
        <v>154</v>
      </c>
      <c r="G15" s="439" t="s">
        <v>155</v>
      </c>
      <c r="H15" s="439" t="s">
        <v>156</v>
      </c>
      <c r="I15" s="439" t="s">
        <v>157</v>
      </c>
      <c r="J15" s="440" t="s">
        <v>158</v>
      </c>
      <c r="O15" s="441">
        <f>(((1+0.03+0.0012+0.0097)*(1+0.0028)*(1+0.0616)/(1-(0.03+0.045+0.0065+0.024)))-1)*100</f>
        <v>23.880770758188952</v>
      </c>
    </row>
    <row r="16" spans="1:15" ht="30" customHeight="1" thickBot="1" x14ac:dyDescent="0.35">
      <c r="A16" s="406" t="s">
        <v>123</v>
      </c>
      <c r="B16" s="407" t="s">
        <v>124</v>
      </c>
      <c r="C16" s="407" t="s">
        <v>130</v>
      </c>
      <c r="D16" s="407" t="s">
        <v>125</v>
      </c>
      <c r="E16" s="407" t="s">
        <v>126</v>
      </c>
      <c r="F16" s="407" t="s">
        <v>127</v>
      </c>
      <c r="G16" s="407" t="s">
        <v>128</v>
      </c>
      <c r="H16" s="407" t="s">
        <v>123</v>
      </c>
      <c r="I16" s="407" t="s">
        <v>129</v>
      </c>
      <c r="J16" s="408" t="s">
        <v>138</v>
      </c>
      <c r="O16" s="442">
        <f>(((1+0.03+0.0012+0.0097)*(1+0.0037)*(1+0.0616)/(1-(0.03+0.045+0.0065+0.024)))-1)*100</f>
        <v>23.991952143991103</v>
      </c>
    </row>
    <row r="17" spans="1:10" x14ac:dyDescent="0.3">
      <c r="A17" s="443"/>
      <c r="B17" s="444"/>
      <c r="C17" s="444"/>
      <c r="D17" s="444"/>
      <c r="E17" s="444"/>
      <c r="F17" s="444"/>
      <c r="G17" s="444"/>
      <c r="H17" s="444"/>
      <c r="I17" s="444"/>
      <c r="J17" s="445"/>
    </row>
    <row r="18" spans="1:10" ht="18" customHeight="1" x14ac:dyDescent="0.3">
      <c r="A18" s="446" t="s">
        <v>139</v>
      </c>
      <c r="B18" s="447"/>
      <c r="C18" s="447"/>
      <c r="D18" s="447"/>
      <c r="E18" s="447"/>
      <c r="F18" s="447"/>
      <c r="G18" s="447"/>
      <c r="H18" s="447"/>
      <c r="I18" s="447"/>
      <c r="J18" s="448"/>
    </row>
    <row r="19" spans="1:10" ht="18" customHeight="1" x14ac:dyDescent="0.3">
      <c r="A19" s="446" t="s">
        <v>140</v>
      </c>
      <c r="B19" s="447"/>
      <c r="C19" s="447"/>
      <c r="D19" s="447"/>
      <c r="E19" s="447"/>
      <c r="F19" s="447"/>
      <c r="G19" s="447"/>
      <c r="H19" s="447"/>
      <c r="I19" s="447"/>
      <c r="J19" s="448"/>
    </row>
    <row r="20" spans="1:10" ht="18" customHeight="1" x14ac:dyDescent="0.3">
      <c r="A20" s="446" t="s">
        <v>141</v>
      </c>
      <c r="B20" s="447"/>
      <c r="C20" s="447"/>
      <c r="D20" s="447"/>
      <c r="E20" s="447"/>
      <c r="F20" s="447"/>
      <c r="G20" s="447"/>
      <c r="H20" s="447"/>
      <c r="I20" s="447"/>
      <c r="J20" s="448"/>
    </row>
    <row r="21" spans="1:10" ht="16.5" customHeight="1" x14ac:dyDescent="0.3">
      <c r="A21" s="449" t="s">
        <v>142</v>
      </c>
      <c r="B21" s="450"/>
      <c r="C21" s="450"/>
      <c r="D21" s="450"/>
      <c r="E21" s="450"/>
      <c r="F21" s="450"/>
      <c r="G21" s="450"/>
      <c r="H21" s="450"/>
      <c r="I21" s="450"/>
      <c r="J21" s="451"/>
    </row>
    <row r="22" spans="1:10" x14ac:dyDescent="0.3">
      <c r="A22" s="449"/>
      <c r="B22" s="450"/>
      <c r="C22" s="450"/>
      <c r="D22" s="450"/>
      <c r="E22" s="450"/>
      <c r="F22" s="450"/>
      <c r="G22" s="450"/>
      <c r="H22" s="450"/>
      <c r="I22" s="450"/>
      <c r="J22" s="451"/>
    </row>
    <row r="23" spans="1:10" x14ac:dyDescent="0.3">
      <c r="A23" s="449"/>
      <c r="B23" s="450"/>
      <c r="C23" s="450"/>
      <c r="D23" s="450"/>
      <c r="E23" s="450"/>
      <c r="F23" s="450"/>
      <c r="G23" s="450"/>
      <c r="H23" s="450"/>
      <c r="I23" s="450"/>
      <c r="J23" s="451"/>
    </row>
    <row r="24" spans="1:10" x14ac:dyDescent="0.3">
      <c r="A24" s="449"/>
      <c r="B24" s="450"/>
      <c r="C24" s="450"/>
      <c r="D24" s="450"/>
      <c r="E24" s="450"/>
      <c r="F24" s="450"/>
      <c r="G24" s="450"/>
      <c r="H24" s="450"/>
      <c r="I24" s="450"/>
      <c r="J24" s="451"/>
    </row>
    <row r="25" spans="1:10" x14ac:dyDescent="0.3">
      <c r="A25" s="449"/>
      <c r="B25" s="450"/>
      <c r="C25" s="450"/>
      <c r="D25" s="450"/>
      <c r="E25" s="450"/>
      <c r="F25" s="450"/>
      <c r="G25" s="450"/>
      <c r="H25" s="450"/>
      <c r="I25" s="450"/>
      <c r="J25" s="451"/>
    </row>
    <row r="26" spans="1:10" x14ac:dyDescent="0.3">
      <c r="A26" s="449"/>
      <c r="B26" s="450"/>
      <c r="C26" s="450"/>
      <c r="D26" s="450"/>
      <c r="E26" s="450"/>
      <c r="F26" s="450"/>
      <c r="G26" s="450"/>
      <c r="H26" s="450"/>
      <c r="I26" s="450"/>
      <c r="J26" s="451"/>
    </row>
    <row r="27" spans="1:10" x14ac:dyDescent="0.3">
      <c r="A27" s="449"/>
      <c r="B27" s="450"/>
      <c r="C27" s="450"/>
      <c r="D27" s="450"/>
      <c r="E27" s="450"/>
      <c r="F27" s="450"/>
      <c r="G27" s="450"/>
      <c r="H27" s="450"/>
      <c r="I27" s="450"/>
      <c r="J27" s="451"/>
    </row>
    <row r="28" spans="1:10" ht="18" customHeight="1" x14ac:dyDescent="0.3">
      <c r="A28" s="452" t="s">
        <v>143</v>
      </c>
      <c r="B28" s="453"/>
      <c r="C28" s="453"/>
      <c r="D28" s="453"/>
      <c r="E28" s="453"/>
      <c r="F28" s="453"/>
      <c r="G28" s="453"/>
      <c r="H28" s="453"/>
      <c r="I28" s="453"/>
      <c r="J28" s="454"/>
    </row>
    <row r="29" spans="1:10" ht="18" customHeight="1" x14ac:dyDescent="0.3">
      <c r="A29" s="452" t="s">
        <v>144</v>
      </c>
      <c r="B29" s="453"/>
      <c r="C29" s="453"/>
      <c r="D29" s="453"/>
      <c r="E29" s="453"/>
      <c r="F29" s="453"/>
      <c r="G29" s="453"/>
      <c r="H29" s="453"/>
      <c r="I29" s="453"/>
      <c r="J29" s="454"/>
    </row>
    <row r="30" spans="1:10" ht="18" customHeight="1" x14ac:dyDescent="0.3">
      <c r="A30" s="452" t="s">
        <v>145</v>
      </c>
      <c r="B30" s="453"/>
      <c r="C30" s="453"/>
      <c r="D30" s="453"/>
      <c r="E30" s="453"/>
      <c r="F30" s="453"/>
      <c r="G30" s="453"/>
      <c r="H30" s="453"/>
      <c r="I30" s="453"/>
      <c r="J30" s="454"/>
    </row>
    <row r="31" spans="1:10" ht="16.5" customHeight="1" x14ac:dyDescent="0.3">
      <c r="A31" s="449" t="s">
        <v>146</v>
      </c>
      <c r="B31" s="450"/>
      <c r="C31" s="450"/>
      <c r="D31" s="450"/>
      <c r="E31" s="450"/>
      <c r="F31" s="450"/>
      <c r="G31" s="450"/>
      <c r="H31" s="450"/>
      <c r="I31" s="450"/>
      <c r="J31" s="451"/>
    </row>
    <row r="32" spans="1:10" x14ac:dyDescent="0.3">
      <c r="A32" s="449"/>
      <c r="B32" s="450"/>
      <c r="C32" s="450"/>
      <c r="D32" s="450"/>
      <c r="E32" s="450"/>
      <c r="F32" s="450"/>
      <c r="G32" s="450"/>
      <c r="H32" s="450"/>
      <c r="I32" s="450"/>
      <c r="J32" s="451"/>
    </row>
    <row r="33" spans="1:10" ht="18" customHeight="1" x14ac:dyDescent="0.3">
      <c r="A33" s="446" t="s">
        <v>147</v>
      </c>
      <c r="B33" s="447"/>
      <c r="C33" s="447"/>
      <c r="D33" s="447"/>
      <c r="E33" s="447"/>
      <c r="F33" s="447"/>
      <c r="G33" s="447"/>
      <c r="H33" s="447"/>
      <c r="I33" s="447"/>
      <c r="J33" s="448"/>
    </row>
    <row r="34" spans="1:10" x14ac:dyDescent="0.3">
      <c r="A34" s="455"/>
      <c r="B34" s="456"/>
      <c r="C34" s="456"/>
      <c r="D34" s="456"/>
      <c r="E34" s="456"/>
      <c r="F34" s="456"/>
      <c r="G34" s="456"/>
      <c r="H34" s="456"/>
      <c r="I34" s="456"/>
      <c r="J34" s="457"/>
    </row>
    <row r="35" spans="1:10" x14ac:dyDescent="0.3">
      <c r="A35" s="455"/>
      <c r="B35" s="456"/>
      <c r="C35" s="456"/>
      <c r="D35" s="456"/>
      <c r="E35" s="456" t="s">
        <v>131</v>
      </c>
      <c r="F35" s="456"/>
      <c r="G35" s="456"/>
      <c r="H35" s="456"/>
      <c r="I35" s="456"/>
      <c r="J35" s="457"/>
    </row>
    <row r="36" spans="1:10" x14ac:dyDescent="0.3">
      <c r="A36" s="458"/>
      <c r="B36" s="459"/>
      <c r="C36" s="459"/>
      <c r="D36" s="456"/>
      <c r="E36" s="456" t="s">
        <v>132</v>
      </c>
      <c r="F36" s="456"/>
      <c r="G36" s="456"/>
      <c r="H36" s="456"/>
      <c r="I36" s="456"/>
      <c r="J36" s="457"/>
    </row>
    <row r="37" spans="1:10" x14ac:dyDescent="0.3">
      <c r="A37" s="458"/>
      <c r="B37" s="459"/>
      <c r="C37" s="459"/>
      <c r="D37" s="456"/>
      <c r="E37" s="456" t="s">
        <v>133</v>
      </c>
      <c r="F37" s="456"/>
      <c r="G37" s="456"/>
      <c r="H37" s="456"/>
      <c r="I37" s="456"/>
      <c r="J37" s="457"/>
    </row>
    <row r="38" spans="1:10" x14ac:dyDescent="0.3">
      <c r="A38" s="458"/>
      <c r="B38" s="459"/>
      <c r="C38" s="459"/>
      <c r="D38" s="456"/>
      <c r="E38" s="456" t="s">
        <v>134</v>
      </c>
      <c r="F38" s="456"/>
      <c r="G38" s="456"/>
      <c r="H38" s="456"/>
      <c r="I38" s="456"/>
      <c r="J38" s="457"/>
    </row>
    <row r="39" spans="1:10" x14ac:dyDescent="0.3">
      <c r="A39" s="455"/>
      <c r="B39" s="456"/>
      <c r="C39" s="456"/>
      <c r="D39" s="456"/>
      <c r="E39" s="456" t="s">
        <v>135</v>
      </c>
      <c r="F39" s="456"/>
      <c r="G39" s="456"/>
      <c r="H39" s="456"/>
      <c r="I39" s="456"/>
      <c r="J39" s="457"/>
    </row>
    <row r="40" spans="1:10" x14ac:dyDescent="0.3">
      <c r="A40" s="455"/>
      <c r="B40" s="456"/>
      <c r="C40" s="456"/>
      <c r="D40" s="456"/>
      <c r="E40" s="456" t="s">
        <v>136</v>
      </c>
      <c r="F40" s="456"/>
      <c r="G40" s="456"/>
      <c r="H40" s="456"/>
      <c r="I40" s="456"/>
      <c r="J40" s="457"/>
    </row>
    <row r="41" spans="1:10" x14ac:dyDescent="0.3">
      <c r="A41" s="455"/>
      <c r="B41" s="456"/>
      <c r="C41" s="456"/>
      <c r="D41" s="456"/>
      <c r="E41" s="456" t="s">
        <v>148</v>
      </c>
      <c r="F41" s="456"/>
      <c r="G41" s="456"/>
      <c r="H41" s="456"/>
      <c r="I41" s="456"/>
      <c r="J41" s="457"/>
    </row>
    <row r="42" spans="1:10" x14ac:dyDescent="0.3">
      <c r="A42" s="455"/>
      <c r="B42" s="456"/>
      <c r="C42" s="456"/>
      <c r="D42" s="456"/>
      <c r="E42" s="456" t="s">
        <v>137</v>
      </c>
      <c r="F42" s="456"/>
      <c r="G42" s="456"/>
      <c r="H42" s="456"/>
      <c r="I42" s="456"/>
      <c r="J42" s="457"/>
    </row>
    <row r="43" spans="1:10" x14ac:dyDescent="0.3">
      <c r="A43" s="455"/>
      <c r="B43" s="456"/>
      <c r="C43" s="456"/>
      <c r="D43" s="456"/>
      <c r="E43" s="456"/>
      <c r="F43" s="456"/>
      <c r="G43" s="456"/>
      <c r="H43" s="456"/>
      <c r="I43" s="456"/>
      <c r="J43" s="457"/>
    </row>
    <row r="44" spans="1:10" ht="96" customHeight="1" x14ac:dyDescent="0.3">
      <c r="A44" s="455"/>
      <c r="B44" s="456"/>
      <c r="C44" s="456"/>
      <c r="D44" s="456"/>
      <c r="E44" s="456"/>
      <c r="F44" s="456"/>
      <c r="G44" s="456"/>
      <c r="H44" s="456"/>
      <c r="I44" s="456"/>
      <c r="J44" s="457"/>
    </row>
    <row r="45" spans="1:10" x14ac:dyDescent="0.3">
      <c r="A45" s="460"/>
      <c r="B45" s="461"/>
      <c r="C45" s="461"/>
      <c r="D45" s="462"/>
      <c r="E45" s="463"/>
      <c r="F45" s="464"/>
      <c r="G45" s="465"/>
      <c r="H45" s="466"/>
      <c r="I45" s="462"/>
      <c r="J45" s="467"/>
    </row>
    <row r="46" spans="1:10" x14ac:dyDescent="0.3">
      <c r="A46" s="460"/>
      <c r="B46" s="461"/>
      <c r="C46" s="463" t="s">
        <v>75</v>
      </c>
      <c r="D46" s="462"/>
      <c r="E46" s="463"/>
      <c r="F46" s="463" t="s">
        <v>261</v>
      </c>
      <c r="G46" s="465"/>
      <c r="H46" s="466"/>
      <c r="I46" s="463"/>
      <c r="J46" s="468"/>
    </row>
    <row r="47" spans="1:10" x14ac:dyDescent="0.3">
      <c r="A47" s="460"/>
      <c r="B47" s="461"/>
      <c r="C47" s="469" t="s">
        <v>76</v>
      </c>
      <c r="D47" s="462"/>
      <c r="E47" s="463"/>
      <c r="F47" s="470" t="s">
        <v>262</v>
      </c>
      <c r="G47" s="465"/>
      <c r="H47" s="466"/>
      <c r="I47" s="469"/>
      <c r="J47" s="467"/>
    </row>
    <row r="48" spans="1:10" x14ac:dyDescent="0.3">
      <c r="A48" s="414"/>
      <c r="B48" s="416"/>
      <c r="C48" s="463" t="s">
        <v>77</v>
      </c>
      <c r="D48" s="462"/>
      <c r="E48" s="463"/>
      <c r="F48" s="463" t="s">
        <v>263</v>
      </c>
      <c r="G48" s="416"/>
      <c r="H48" s="471"/>
      <c r="I48" s="469"/>
      <c r="J48" s="467"/>
    </row>
    <row r="49" spans="1:10" x14ac:dyDescent="0.3">
      <c r="A49" s="460"/>
      <c r="B49" s="416"/>
      <c r="C49" s="463" t="s">
        <v>78</v>
      </c>
      <c r="D49" s="462"/>
      <c r="E49" s="463"/>
      <c r="F49" s="472"/>
      <c r="G49" s="416"/>
      <c r="H49" s="471"/>
      <c r="I49" s="469"/>
      <c r="J49" s="467"/>
    </row>
    <row r="50" spans="1:10" x14ac:dyDescent="0.3">
      <c r="A50" s="460"/>
      <c r="B50" s="416"/>
      <c r="C50" s="461"/>
      <c r="D50" s="462"/>
      <c r="E50" s="463"/>
      <c r="F50" s="465"/>
      <c r="G50" s="416"/>
      <c r="H50" s="471"/>
      <c r="I50" s="462"/>
      <c r="J50" s="467"/>
    </row>
    <row r="51" spans="1:10" ht="17.25" thickBot="1" x14ac:dyDescent="0.35">
      <c r="A51" s="473"/>
      <c r="B51" s="474"/>
      <c r="C51" s="474"/>
      <c r="D51" s="429"/>
      <c r="E51" s="474"/>
      <c r="F51" s="474"/>
      <c r="G51" s="474"/>
      <c r="H51" s="475"/>
      <c r="I51" s="476"/>
      <c r="J51" s="477"/>
    </row>
  </sheetData>
  <sheetProtection algorithmName="SHA-512" hashValue="/3fjeUhID2cp/AoFfazQOdMjQgrolXdgJkZScqOU5Z9pb2cki9/GyEOHVy+45HeXaI9oNmxnOLehKcZBWnhCYw==" saltValue="hTMfMaVvxZTBOknsxE9HFA==" spinCount="100000" sheet="1" objects="1" scenarios="1"/>
  <mergeCells count="15">
    <mergeCell ref="A14:J14"/>
    <mergeCell ref="D7:J10"/>
    <mergeCell ref="C7:C10"/>
    <mergeCell ref="C1:J2"/>
    <mergeCell ref="A13:J13"/>
    <mergeCell ref="A21:J27"/>
    <mergeCell ref="A28:J28"/>
    <mergeCell ref="A18:J18"/>
    <mergeCell ref="A19:J19"/>
    <mergeCell ref="A20:J20"/>
    <mergeCell ref="A33:J33"/>
    <mergeCell ref="A36:C38"/>
    <mergeCell ref="A29:J29"/>
    <mergeCell ref="A30:J30"/>
    <mergeCell ref="A31:J32"/>
  </mergeCells>
  <pageMargins left="0.78740157480314965" right="0.39370078740157483" top="0.78740157480314965" bottom="0.78740157480314965" header="0.31496062992125984" footer="0.31496062992125984"/>
  <pageSetup paperSize="9" scale="4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ORÇAMENTO</vt:lpstr>
      <vt:lpstr>MEMORIAL DE CÁLCULO</vt:lpstr>
      <vt:lpstr>CRONOGRAMA</vt:lpstr>
      <vt:lpstr>BDI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cp:lastPrinted>2022-06-23T13:07:58Z</cp:lastPrinted>
  <dcterms:created xsi:type="dcterms:W3CDTF">2021-08-26T11:37:04Z</dcterms:created>
  <dcterms:modified xsi:type="dcterms:W3CDTF">2022-06-23T13:18:56Z</dcterms:modified>
</cp:coreProperties>
</file>